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ordinacion CEDI\Desktop\PÁGINA CENDI\5-f esc nomina\"/>
    </mc:Choice>
  </mc:AlternateContent>
  <xr:revisionPtr revIDLastSave="0" documentId="13_ncr:1_{A33A7C36-7F5F-4636-9732-81712EA17CE5}" xr6:coauthVersionLast="40" xr6:coauthVersionMax="40" xr10:uidLastSave="{00000000-0000-0000-0000-000000000000}"/>
  <bookViews>
    <workbookView xWindow="0" yWindow="0" windowWidth="20400" windowHeight="8175" firstSheet="23" activeTab="26" xr2:uid="{00000000-000D-0000-FFFF-FFFF00000000}"/>
  </bookViews>
  <sheets>
    <sheet name="1RA ENERO 2018" sheetId="90" r:id="rId1"/>
    <sheet name="2DA ENERO 2018 " sheetId="91" r:id="rId2"/>
    <sheet name="RETROACTIVO ENERO 2018" sheetId="92" r:id="rId3"/>
    <sheet name="1RA FEBRERO 2018  " sheetId="93" r:id="rId4"/>
    <sheet name="2DA FEBRERO 2018" sheetId="94" r:id="rId5"/>
    <sheet name="1RA MARZO 2018 " sheetId="96" r:id="rId6"/>
    <sheet name="2DA MARZO 2018 " sheetId="97" r:id="rId7"/>
    <sheet name="1RA ABRIL 2018" sheetId="98" r:id="rId8"/>
    <sheet name="2DA ABRIL 2018 " sheetId="99" r:id="rId9"/>
    <sheet name="1RA MAYO 2018" sheetId="100" r:id="rId10"/>
    <sheet name="2DA MAYO 2018 " sheetId="101" r:id="rId11"/>
    <sheet name="1RA JUNIO 2018" sheetId="102" r:id="rId12"/>
    <sheet name="2DA JUNIO 2018" sheetId="103" r:id="rId13"/>
    <sheet name="1RA JULIO 2018" sheetId="104" r:id="rId14"/>
    <sheet name="2DA JULIO 2018 " sheetId="105" r:id="rId15"/>
    <sheet name="1RA AGOSTO 2018  " sheetId="106" r:id="rId16"/>
    <sheet name="2DA AGOSTO 2018  " sheetId="107" r:id="rId17"/>
    <sheet name="1RA SEPTIEMBRE 2018" sheetId="109" r:id="rId18"/>
    <sheet name="ESTIMULO SERVIDOR 2018" sheetId="108" r:id="rId19"/>
    <sheet name="2DA SEPTIEMBRE 2018 " sheetId="110" r:id="rId20"/>
    <sheet name="1RA OCTUBRE 2018 " sheetId="111" r:id="rId21"/>
    <sheet name="2DA OCTUBRE 2018  " sheetId="112" r:id="rId22"/>
    <sheet name="1RA NOVIEMBRE 2018  " sheetId="113" r:id="rId23"/>
    <sheet name="2DA NOVIEMBRE 2018  " sheetId="114" r:id="rId24"/>
    <sheet name="Aguinaldo 2018" sheetId="115" r:id="rId25"/>
    <sheet name="1RA DE DICIEMBRE " sheetId="116" r:id="rId26"/>
    <sheet name="2DA DE DICIEMBRE " sheetId="118" r:id="rId27"/>
  </sheets>
  <externalReferences>
    <externalReference r:id="rId28"/>
    <externalReference r:id="rId29"/>
  </externalReferences>
  <definedNames>
    <definedName name="_xlnm.Print_Area" localSheetId="7">'1RA ABRIL 2018'!$A$1:$V$65</definedName>
    <definedName name="_xlnm.Print_Area" localSheetId="15">'1RA AGOSTO 2018  '!$A$1:$V$71</definedName>
    <definedName name="_xlnm.Print_Area" localSheetId="25">'1RA DE DICIEMBRE '!$A$1:$V$76</definedName>
    <definedName name="_xlnm.Print_Area" localSheetId="0">'1RA ENERO 2018'!$A$1:$V$65</definedName>
    <definedName name="_xlnm.Print_Area" localSheetId="3">'1RA FEBRERO 2018  '!$A$1:$V$65</definedName>
    <definedName name="_xlnm.Print_Area" localSheetId="13">'1RA JULIO 2018'!$A$1:$V$72</definedName>
    <definedName name="_xlnm.Print_Area" localSheetId="11">'1RA JUNIO 2018'!$A$1:$V$72</definedName>
    <definedName name="_xlnm.Print_Area" localSheetId="5">'1RA MARZO 2018 '!$A$1:$V$65</definedName>
    <definedName name="_xlnm.Print_Area" localSheetId="9">'1RA MAYO 2018'!$A$1:$V$72</definedName>
    <definedName name="_xlnm.Print_Area" localSheetId="22">'1RA NOVIEMBRE 2018  '!$A$1:$V$77</definedName>
    <definedName name="_xlnm.Print_Area" localSheetId="20">'1RA OCTUBRE 2018 '!$A$1:$V$73</definedName>
    <definedName name="_xlnm.Print_Area" localSheetId="17">'1RA SEPTIEMBRE 2018'!$A$1:$V$71</definedName>
    <definedName name="_xlnm.Print_Area" localSheetId="8">'2DA ABRIL 2018 '!$A$1:$V$72</definedName>
    <definedName name="_xlnm.Print_Area" localSheetId="16">'2DA AGOSTO 2018  '!$A$1:$V$71</definedName>
    <definedName name="_xlnm.Print_Area" localSheetId="1">'2DA ENERO 2018 '!$A$1:$V$65</definedName>
    <definedName name="_xlnm.Print_Area" localSheetId="4">'2DA FEBRERO 2018'!$A$1:$V$65</definedName>
    <definedName name="_xlnm.Print_Area" localSheetId="14">'2DA JULIO 2018 '!$A$1:$V$72</definedName>
    <definedName name="_xlnm.Print_Area" localSheetId="12">'2DA JUNIO 2018'!$A$1:$V$72</definedName>
    <definedName name="_xlnm.Print_Area" localSheetId="6">'2DA MARZO 2018 '!$A$1:$V$65</definedName>
    <definedName name="_xlnm.Print_Area" localSheetId="10">'2DA MAYO 2018 '!$A$1:$V$72</definedName>
    <definedName name="_xlnm.Print_Area" localSheetId="23">'2DA NOVIEMBRE 2018  '!$A$1:$V$77</definedName>
    <definedName name="_xlnm.Print_Area" localSheetId="21">'2DA OCTUBRE 2018  '!$A$1:$V$73</definedName>
    <definedName name="_xlnm.Print_Area" localSheetId="19">'2DA SEPTIEMBRE 2018 '!$A$1:$V$72</definedName>
    <definedName name="_xlnm.Print_Area" localSheetId="2">'RETROACTIVO ENERO 2018'!$A$1:$O$58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2" i="118" l="1"/>
  <c r="O62" i="118"/>
  <c r="N62" i="118"/>
  <c r="M62" i="118"/>
  <c r="L62" i="118"/>
  <c r="J62" i="118"/>
  <c r="I62" i="118"/>
  <c r="G62" i="118"/>
  <c r="E62" i="118"/>
  <c r="U61" i="118"/>
  <c r="U62" i="118" s="1"/>
  <c r="T61" i="118"/>
  <c r="T62" i="118" s="1"/>
  <c r="Q61" i="118"/>
  <c r="Q62" i="118" s="1"/>
  <c r="P61" i="118"/>
  <c r="P62" i="118" s="1"/>
  <c r="K61" i="118"/>
  <c r="K62" i="118" s="1"/>
  <c r="S58" i="118"/>
  <c r="O58" i="118"/>
  <c r="N58" i="118"/>
  <c r="M58" i="118"/>
  <c r="L58" i="118"/>
  <c r="J58" i="118"/>
  <c r="I58" i="118"/>
  <c r="H58" i="118"/>
  <c r="G58" i="118"/>
  <c r="E58" i="118"/>
  <c r="U57" i="118"/>
  <c r="T57" i="118"/>
  <c r="V57" i="118" s="1"/>
  <c r="Q57" i="118"/>
  <c r="P57" i="118"/>
  <c r="K57" i="118"/>
  <c r="R57" i="118" s="1"/>
  <c r="V56" i="118"/>
  <c r="Q56" i="118"/>
  <c r="K56" i="118"/>
  <c r="R56" i="118" s="1"/>
  <c r="V55" i="118"/>
  <c r="Q55" i="118"/>
  <c r="K55" i="118"/>
  <c r="R55" i="118" s="1"/>
  <c r="U54" i="118"/>
  <c r="T54" i="118"/>
  <c r="T58" i="118" s="1"/>
  <c r="P54" i="118"/>
  <c r="P58" i="118" s="1"/>
  <c r="K54" i="118"/>
  <c r="V53" i="118"/>
  <c r="U53" i="118"/>
  <c r="U58" i="118" s="1"/>
  <c r="Q53" i="118"/>
  <c r="K53" i="118"/>
  <c r="R53" i="118" s="1"/>
  <c r="V52" i="118"/>
  <c r="Q52" i="118"/>
  <c r="K52" i="118"/>
  <c r="K58" i="118" s="1"/>
  <c r="S49" i="118"/>
  <c r="O49" i="118"/>
  <c r="N49" i="118"/>
  <c r="M49" i="118"/>
  <c r="L49" i="118"/>
  <c r="J49" i="118"/>
  <c r="I49" i="118"/>
  <c r="H49" i="118"/>
  <c r="G49" i="118"/>
  <c r="F49" i="118"/>
  <c r="E49" i="118"/>
  <c r="V48" i="118"/>
  <c r="Q48" i="118"/>
  <c r="K48" i="118"/>
  <c r="R48" i="118" s="1"/>
  <c r="V47" i="118"/>
  <c r="Q47" i="118"/>
  <c r="K47" i="118"/>
  <c r="R47" i="118" s="1"/>
  <c r="U46" i="118"/>
  <c r="T46" i="118"/>
  <c r="V46" i="118" s="1"/>
  <c r="P46" i="118"/>
  <c r="Q46" i="118" s="1"/>
  <c r="K46" i="118"/>
  <c r="R46" i="118" s="1"/>
  <c r="U45" i="118"/>
  <c r="V45" i="118" s="1"/>
  <c r="Q45" i="118"/>
  <c r="K45" i="118"/>
  <c r="R45" i="118" s="1"/>
  <c r="V44" i="118"/>
  <c r="U44" i="118"/>
  <c r="Q44" i="118"/>
  <c r="K44" i="118"/>
  <c r="R44" i="118" s="1"/>
  <c r="V43" i="118"/>
  <c r="Q43" i="118"/>
  <c r="K43" i="118"/>
  <c r="R43" i="118" s="1"/>
  <c r="V42" i="118"/>
  <c r="Q42" i="118"/>
  <c r="K42" i="118"/>
  <c r="R42" i="118" s="1"/>
  <c r="V41" i="118"/>
  <c r="Q41" i="118"/>
  <c r="K41" i="118"/>
  <c r="R41" i="118" s="1"/>
  <c r="U40" i="118"/>
  <c r="T40" i="118"/>
  <c r="V40" i="118" s="1"/>
  <c r="Q40" i="118"/>
  <c r="P40" i="118"/>
  <c r="K40" i="118"/>
  <c r="R40" i="118" s="1"/>
  <c r="U39" i="118"/>
  <c r="T39" i="118"/>
  <c r="V39" i="118" s="1"/>
  <c r="P39" i="118"/>
  <c r="Q39" i="118" s="1"/>
  <c r="K39" i="118"/>
  <c r="V38" i="118"/>
  <c r="Q38" i="118"/>
  <c r="K38" i="118"/>
  <c r="R38" i="118" s="1"/>
  <c r="U37" i="118"/>
  <c r="T37" i="118"/>
  <c r="V37" i="118" s="1"/>
  <c r="Q37" i="118"/>
  <c r="P37" i="118"/>
  <c r="K37" i="118"/>
  <c r="R37" i="118" s="1"/>
  <c r="U36" i="118"/>
  <c r="T36" i="118"/>
  <c r="V36" i="118" s="1"/>
  <c r="P36" i="118"/>
  <c r="Q36" i="118" s="1"/>
  <c r="R36" i="118" s="1"/>
  <c r="K36" i="118"/>
  <c r="U35" i="118"/>
  <c r="T35" i="118"/>
  <c r="V35" i="118" s="1"/>
  <c r="Q35" i="118"/>
  <c r="P35" i="118"/>
  <c r="K35" i="118"/>
  <c r="R35" i="118" s="1"/>
  <c r="V34" i="118"/>
  <c r="Q34" i="118"/>
  <c r="K34" i="118"/>
  <c r="R34" i="118" s="1"/>
  <c r="U33" i="118"/>
  <c r="U49" i="118" s="1"/>
  <c r="T33" i="118"/>
  <c r="T49" i="118" s="1"/>
  <c r="P33" i="118"/>
  <c r="P49" i="118" s="1"/>
  <c r="K33" i="118"/>
  <c r="K49" i="118" s="1"/>
  <c r="S29" i="118"/>
  <c r="O29" i="118"/>
  <c r="N29" i="118"/>
  <c r="M29" i="118"/>
  <c r="L29" i="118"/>
  <c r="J29" i="118"/>
  <c r="I29" i="118"/>
  <c r="G29" i="118"/>
  <c r="E29" i="118"/>
  <c r="U28" i="118"/>
  <c r="T28" i="118"/>
  <c r="V28" i="118" s="1"/>
  <c r="Q28" i="118"/>
  <c r="P28" i="118"/>
  <c r="K28" i="118"/>
  <c r="R28" i="118" s="1"/>
  <c r="U27" i="118"/>
  <c r="T27" i="118"/>
  <c r="V27" i="118" s="1"/>
  <c r="P27" i="118"/>
  <c r="Q27" i="118" s="1"/>
  <c r="K27" i="118"/>
  <c r="U26" i="118"/>
  <c r="T26" i="118"/>
  <c r="V26" i="118" s="1"/>
  <c r="Q26" i="118"/>
  <c r="P26" i="118"/>
  <c r="K26" i="118"/>
  <c r="R26" i="118" s="1"/>
  <c r="U25" i="118"/>
  <c r="U29" i="118" s="1"/>
  <c r="T25" i="118"/>
  <c r="T29" i="118" s="1"/>
  <c r="P25" i="118"/>
  <c r="P29" i="118" s="1"/>
  <c r="K25" i="118"/>
  <c r="S22" i="118"/>
  <c r="O22" i="118"/>
  <c r="N22" i="118"/>
  <c r="M22" i="118"/>
  <c r="L22" i="118"/>
  <c r="J22" i="118"/>
  <c r="I22" i="118"/>
  <c r="G22" i="118"/>
  <c r="E22" i="118"/>
  <c r="V21" i="118"/>
  <c r="Q21" i="118"/>
  <c r="K21" i="118"/>
  <c r="R21" i="118" s="1"/>
  <c r="V20" i="118"/>
  <c r="Q20" i="118"/>
  <c r="K20" i="118"/>
  <c r="R20" i="118" s="1"/>
  <c r="V19" i="118"/>
  <c r="Q19" i="118"/>
  <c r="K19" i="118"/>
  <c r="R19" i="118" s="1"/>
  <c r="U18" i="118"/>
  <c r="T18" i="118"/>
  <c r="V18" i="118" s="1"/>
  <c r="Q18" i="118"/>
  <c r="P18" i="118"/>
  <c r="K18" i="118"/>
  <c r="R18" i="118" s="1"/>
  <c r="U17" i="118"/>
  <c r="T17" i="118"/>
  <c r="V17" i="118" s="1"/>
  <c r="P17" i="118"/>
  <c r="Q17" i="118" s="1"/>
  <c r="R17" i="118" s="1"/>
  <c r="K17" i="118"/>
  <c r="U16" i="118"/>
  <c r="T16" i="118"/>
  <c r="V16" i="118" s="1"/>
  <c r="Q16" i="118"/>
  <c r="P16" i="118"/>
  <c r="K16" i="118"/>
  <c r="R16" i="118" s="1"/>
  <c r="V15" i="118"/>
  <c r="Q15" i="118"/>
  <c r="K15" i="118"/>
  <c r="R15" i="118" s="1"/>
  <c r="V14" i="118"/>
  <c r="R14" i="118"/>
  <c r="K14" i="118"/>
  <c r="V13" i="118"/>
  <c r="Q13" i="118"/>
  <c r="K13" i="118"/>
  <c r="R13" i="118" s="1"/>
  <c r="U12" i="118"/>
  <c r="U22" i="118" s="1"/>
  <c r="T12" i="118"/>
  <c r="T22" i="118" s="1"/>
  <c r="Q12" i="118"/>
  <c r="Q22" i="118" s="1"/>
  <c r="P12" i="118"/>
  <c r="P22" i="118" s="1"/>
  <c r="K12" i="118"/>
  <c r="K22" i="118" s="1"/>
  <c r="S9" i="118"/>
  <c r="S65" i="118" s="1"/>
  <c r="O9" i="118"/>
  <c r="O65" i="118" s="1"/>
  <c r="N9" i="118"/>
  <c r="N65" i="118" s="1"/>
  <c r="M9" i="118"/>
  <c r="M65" i="118" s="1"/>
  <c r="L9" i="118"/>
  <c r="L65" i="118" s="1"/>
  <c r="J9" i="118"/>
  <c r="J65" i="118" s="1"/>
  <c r="I9" i="118"/>
  <c r="I65" i="118" s="1"/>
  <c r="G9" i="118"/>
  <c r="G65" i="118" s="1"/>
  <c r="E9" i="118"/>
  <c r="E65" i="118" s="1"/>
  <c r="V8" i="118"/>
  <c r="Q8" i="118"/>
  <c r="K8" i="118"/>
  <c r="K9" i="118" s="1"/>
  <c r="U7" i="118"/>
  <c r="U9" i="118" s="1"/>
  <c r="U65" i="118" s="1"/>
  <c r="T7" i="118"/>
  <c r="T9" i="118" s="1"/>
  <c r="P7" i="118"/>
  <c r="P9" i="118" s="1"/>
  <c r="P65" i="118" s="1"/>
  <c r="K7" i="118"/>
  <c r="R27" i="118" l="1"/>
  <c r="R39" i="118"/>
  <c r="T65" i="118"/>
  <c r="R8" i="118"/>
  <c r="V12" i="118"/>
  <c r="V22" i="118" s="1"/>
  <c r="Q7" i="118"/>
  <c r="V7" i="118"/>
  <c r="V9" i="118" s="1"/>
  <c r="R12" i="118"/>
  <c r="R22" i="118" s="1"/>
  <c r="Q25" i="118"/>
  <c r="Q29" i="118" s="1"/>
  <c r="V25" i="118"/>
  <c r="V29" i="118" s="1"/>
  <c r="K29" i="118"/>
  <c r="K65" i="118" s="1"/>
  <c r="Q33" i="118"/>
  <c r="Q49" i="118" s="1"/>
  <c r="V33" i="118"/>
  <c r="V49" i="118" s="1"/>
  <c r="Q54" i="118"/>
  <c r="R54" i="118" s="1"/>
  <c r="V54" i="118"/>
  <c r="V58" i="118" s="1"/>
  <c r="R61" i="118"/>
  <c r="R62" i="118" s="1"/>
  <c r="R33" i="118"/>
  <c r="R49" i="118" s="1"/>
  <c r="R52" i="118"/>
  <c r="R58" i="118" s="1"/>
  <c r="V61" i="118"/>
  <c r="V62" i="118" s="1"/>
  <c r="Q9" i="118" l="1"/>
  <c r="R7" i="118"/>
  <c r="R9" i="118" s="1"/>
  <c r="R65" i="118" s="1"/>
  <c r="Q58" i="118"/>
  <c r="V65" i="118"/>
  <c r="R25" i="118"/>
  <c r="R29" i="118" s="1"/>
  <c r="Q65" i="118" l="1"/>
  <c r="E49" i="116" l="1"/>
  <c r="G22" i="116" l="1"/>
  <c r="S62" i="116" l="1"/>
  <c r="O62" i="116"/>
  <c r="N62" i="116"/>
  <c r="M62" i="116"/>
  <c r="L62" i="116"/>
  <c r="J62" i="116"/>
  <c r="I62" i="116"/>
  <c r="G62" i="116"/>
  <c r="E62" i="116"/>
  <c r="U61" i="116"/>
  <c r="U62" i="116" s="1"/>
  <c r="T61" i="116"/>
  <c r="V61" i="116" s="1"/>
  <c r="V62" i="116" s="1"/>
  <c r="P61" i="116"/>
  <c r="Q61" i="116" s="1"/>
  <c r="Q62" i="116" s="1"/>
  <c r="K61" i="116"/>
  <c r="K62" i="116" s="1"/>
  <c r="S58" i="116"/>
  <c r="O58" i="116"/>
  <c r="N58" i="116"/>
  <c r="M58" i="116"/>
  <c r="L58" i="116"/>
  <c r="J58" i="116"/>
  <c r="I58" i="116"/>
  <c r="H58" i="116"/>
  <c r="G58" i="116"/>
  <c r="E58" i="116"/>
  <c r="U57" i="116"/>
  <c r="T57" i="116"/>
  <c r="P57" i="116"/>
  <c r="Q57" i="116" s="1"/>
  <c r="K57" i="116"/>
  <c r="R57" i="116" s="1"/>
  <c r="V56" i="116"/>
  <c r="Q56" i="116"/>
  <c r="K56" i="116"/>
  <c r="R56" i="116" s="1"/>
  <c r="V55" i="116"/>
  <c r="Q55" i="116"/>
  <c r="K55" i="116"/>
  <c r="U54" i="116"/>
  <c r="T54" i="116"/>
  <c r="V54" i="116" s="1"/>
  <c r="P54" i="116"/>
  <c r="Q54" i="116" s="1"/>
  <c r="K54" i="116"/>
  <c r="U53" i="116"/>
  <c r="V53" i="116"/>
  <c r="R53" i="116"/>
  <c r="Q53" i="116"/>
  <c r="K53" i="116"/>
  <c r="V52" i="116"/>
  <c r="R52" i="116"/>
  <c r="Q52" i="116"/>
  <c r="K52" i="116"/>
  <c r="S49" i="116"/>
  <c r="O49" i="116"/>
  <c r="N49" i="116"/>
  <c r="M49" i="116"/>
  <c r="L49" i="116"/>
  <c r="J49" i="116"/>
  <c r="I49" i="116"/>
  <c r="H49" i="116"/>
  <c r="G49" i="116"/>
  <c r="F49" i="116"/>
  <c r="V48" i="116"/>
  <c r="Q48" i="116"/>
  <c r="K48" i="116"/>
  <c r="R48" i="116" s="1"/>
  <c r="V47" i="116"/>
  <c r="Q47" i="116"/>
  <c r="K47" i="116"/>
  <c r="R47" i="116" s="1"/>
  <c r="U46" i="116"/>
  <c r="T46" i="116"/>
  <c r="P46" i="116"/>
  <c r="Q46" i="116" s="1"/>
  <c r="K46" i="116"/>
  <c r="R46" i="116" s="1"/>
  <c r="U45" i="116"/>
  <c r="V45" i="116"/>
  <c r="Q45" i="116"/>
  <c r="K45" i="116"/>
  <c r="U44" i="116"/>
  <c r="V44" i="116"/>
  <c r="Q44" i="116"/>
  <c r="K44" i="116"/>
  <c r="V43" i="116"/>
  <c r="Q43" i="116"/>
  <c r="K43" i="116"/>
  <c r="V42" i="116"/>
  <c r="Q42" i="116"/>
  <c r="K42" i="116"/>
  <c r="R42" i="116" s="1"/>
  <c r="V41" i="116"/>
  <c r="Q41" i="116"/>
  <c r="K41" i="116"/>
  <c r="R41" i="116" s="1"/>
  <c r="V40" i="116"/>
  <c r="U40" i="116"/>
  <c r="T40" i="116"/>
  <c r="P40" i="116"/>
  <c r="Q40" i="116" s="1"/>
  <c r="R40" i="116" s="1"/>
  <c r="K40" i="116"/>
  <c r="U39" i="116"/>
  <c r="T39" i="116"/>
  <c r="P39" i="116"/>
  <c r="Q39" i="116" s="1"/>
  <c r="K39" i="116"/>
  <c r="V38" i="116"/>
  <c r="Q38" i="116"/>
  <c r="K38" i="116"/>
  <c r="U37" i="116"/>
  <c r="T37" i="116"/>
  <c r="P37" i="116"/>
  <c r="Q37" i="116" s="1"/>
  <c r="K37" i="116"/>
  <c r="R37" i="116" s="1"/>
  <c r="U36" i="116"/>
  <c r="T36" i="116"/>
  <c r="Q36" i="116"/>
  <c r="P36" i="116"/>
  <c r="K36" i="116"/>
  <c r="U35" i="116"/>
  <c r="V35" i="116" s="1"/>
  <c r="T35" i="116"/>
  <c r="P35" i="116"/>
  <c r="Q35" i="116" s="1"/>
  <c r="R35" i="116" s="1"/>
  <c r="K35" i="116"/>
  <c r="V34" i="116"/>
  <c r="Q34" i="116"/>
  <c r="K34" i="116"/>
  <c r="R34" i="116" s="1"/>
  <c r="U33" i="116"/>
  <c r="V33" i="116" s="1"/>
  <c r="T33" i="116"/>
  <c r="P33" i="116"/>
  <c r="K33" i="116"/>
  <c r="S29" i="116"/>
  <c r="O29" i="116"/>
  <c r="N29" i="116"/>
  <c r="M29" i="116"/>
  <c r="L29" i="116"/>
  <c r="J29" i="116"/>
  <c r="I29" i="116"/>
  <c r="G29" i="116"/>
  <c r="E29" i="116"/>
  <c r="U28" i="116"/>
  <c r="T28" i="116"/>
  <c r="P28" i="116"/>
  <c r="Q28" i="116" s="1"/>
  <c r="K28" i="116"/>
  <c r="U27" i="116"/>
  <c r="T27" i="116"/>
  <c r="V27" i="116" s="1"/>
  <c r="R27" i="116"/>
  <c r="Q27" i="116"/>
  <c r="P27" i="116"/>
  <c r="K27" i="116"/>
  <c r="V26" i="116"/>
  <c r="U26" i="116"/>
  <c r="T26" i="116"/>
  <c r="P26" i="116"/>
  <c r="Q26" i="116" s="1"/>
  <c r="R26" i="116" s="1"/>
  <c r="K26" i="116"/>
  <c r="U25" i="116"/>
  <c r="T25" i="116"/>
  <c r="P25" i="116"/>
  <c r="Q25" i="116" s="1"/>
  <c r="K25" i="116"/>
  <c r="S22" i="116"/>
  <c r="O22" i="116"/>
  <c r="N22" i="116"/>
  <c r="M22" i="116"/>
  <c r="L22" i="116"/>
  <c r="J22" i="116"/>
  <c r="I22" i="116"/>
  <c r="E22" i="116"/>
  <c r="V21" i="116"/>
  <c r="Q21" i="116"/>
  <c r="R21" i="116" s="1"/>
  <c r="K21" i="116"/>
  <c r="V20" i="116"/>
  <c r="Q20" i="116"/>
  <c r="K20" i="116"/>
  <c r="V19" i="116"/>
  <c r="Q19" i="116"/>
  <c r="K19" i="116"/>
  <c r="U18" i="116"/>
  <c r="T18" i="116"/>
  <c r="P18" i="116"/>
  <c r="Q18" i="116" s="1"/>
  <c r="K18" i="116"/>
  <c r="R18" i="116" s="1"/>
  <c r="U17" i="116"/>
  <c r="T17" i="116"/>
  <c r="P17" i="116"/>
  <c r="Q17" i="116" s="1"/>
  <c r="K17" i="116"/>
  <c r="U16" i="116"/>
  <c r="V16" i="116" s="1"/>
  <c r="T16" i="116"/>
  <c r="P16" i="116"/>
  <c r="K16" i="116"/>
  <c r="V15" i="116"/>
  <c r="Q15" i="116"/>
  <c r="R15" i="116" s="1"/>
  <c r="K15" i="116"/>
  <c r="T22" i="116"/>
  <c r="K14" i="116"/>
  <c r="V13" i="116"/>
  <c r="Q13" i="116"/>
  <c r="K13" i="116"/>
  <c r="R13" i="116" s="1"/>
  <c r="U12" i="116"/>
  <c r="T12" i="116"/>
  <c r="P12" i="116"/>
  <c r="Q12" i="116" s="1"/>
  <c r="K12" i="116"/>
  <c r="K22" i="116" s="1"/>
  <c r="S9" i="116"/>
  <c r="O9" i="116"/>
  <c r="N9" i="116"/>
  <c r="M9" i="116"/>
  <c r="L9" i="116"/>
  <c r="L65" i="116" s="1"/>
  <c r="J9" i="116"/>
  <c r="I9" i="116"/>
  <c r="G9" i="116"/>
  <c r="E9" i="116"/>
  <c r="V8" i="116"/>
  <c r="Q8" i="116"/>
  <c r="K8" i="116"/>
  <c r="U7" i="116"/>
  <c r="T7" i="116"/>
  <c r="P7" i="116"/>
  <c r="P9" i="116" s="1"/>
  <c r="K7" i="116"/>
  <c r="K9" i="116" s="1"/>
  <c r="I65" i="116" l="1"/>
  <c r="R36" i="116"/>
  <c r="R45" i="116"/>
  <c r="R8" i="116"/>
  <c r="K49" i="116"/>
  <c r="J65" i="116"/>
  <c r="U22" i="116"/>
  <c r="R20" i="116"/>
  <c r="T29" i="116"/>
  <c r="P49" i="116"/>
  <c r="R38" i="116"/>
  <c r="V58" i="116"/>
  <c r="T9" i="116"/>
  <c r="E65" i="116"/>
  <c r="V12" i="116"/>
  <c r="R17" i="116"/>
  <c r="R19" i="116"/>
  <c r="U29" i="116"/>
  <c r="T49" i="116"/>
  <c r="V36" i="116"/>
  <c r="V49" i="116" s="1"/>
  <c r="V37" i="116"/>
  <c r="V39" i="116"/>
  <c r="R44" i="116"/>
  <c r="U58" i="116"/>
  <c r="U9" i="116"/>
  <c r="G65" i="116"/>
  <c r="V17" i="116"/>
  <c r="V18" i="116"/>
  <c r="K29" i="116"/>
  <c r="R43" i="116"/>
  <c r="V46" i="116"/>
  <c r="K58" i="116"/>
  <c r="R55" i="116"/>
  <c r="V57" i="116"/>
  <c r="S65" i="116"/>
  <c r="M65" i="116"/>
  <c r="O65" i="116"/>
  <c r="N65" i="116"/>
  <c r="P22" i="116"/>
  <c r="P65" i="116" s="1"/>
  <c r="Q29" i="116"/>
  <c r="R25" i="116"/>
  <c r="R12" i="116"/>
  <c r="R14" i="116"/>
  <c r="R28" i="116"/>
  <c r="R39" i="116"/>
  <c r="Q58" i="116"/>
  <c r="P29" i="116"/>
  <c r="U49" i="116"/>
  <c r="T58" i="116"/>
  <c r="Q7" i="116"/>
  <c r="Q16" i="116"/>
  <c r="R16" i="116" s="1"/>
  <c r="Q33" i="116"/>
  <c r="Q49" i="116" s="1"/>
  <c r="V14" i="116"/>
  <c r="V28" i="116"/>
  <c r="R61" i="116"/>
  <c r="R62" i="116" s="1"/>
  <c r="P58" i="116"/>
  <c r="V7" i="116"/>
  <c r="V9" i="116" s="1"/>
  <c r="V25" i="116"/>
  <c r="V29" i="116" s="1"/>
  <c r="R54" i="116"/>
  <c r="P62" i="116"/>
  <c r="T62" i="116"/>
  <c r="G10" i="115"/>
  <c r="R58" i="116" l="1"/>
  <c r="K65" i="116"/>
  <c r="T65" i="116"/>
  <c r="U65" i="116"/>
  <c r="V22" i="116"/>
  <c r="V65" i="116" s="1"/>
  <c r="R22" i="116"/>
  <c r="Q22" i="116"/>
  <c r="Q9" i="116"/>
  <c r="R7" i="116"/>
  <c r="R9" i="116" s="1"/>
  <c r="R29" i="116"/>
  <c r="R33" i="116"/>
  <c r="R49" i="116" s="1"/>
  <c r="I23" i="115"/>
  <c r="I38" i="115"/>
  <c r="G35" i="115"/>
  <c r="J35" i="115" s="1"/>
  <c r="R65" i="116" l="1"/>
  <c r="Q65" i="116"/>
  <c r="F45" i="115"/>
  <c r="G45" i="115"/>
  <c r="H45" i="115"/>
  <c r="I45" i="115"/>
  <c r="K45" i="115"/>
  <c r="I26" i="115" l="1"/>
  <c r="I32" i="115"/>
  <c r="J42" i="115"/>
  <c r="I42" i="115"/>
  <c r="I22" i="115"/>
  <c r="I31" i="115"/>
  <c r="I33" i="115"/>
  <c r="J33" i="115" s="1"/>
  <c r="I40" i="115"/>
  <c r="I34" i="115"/>
  <c r="I28" i="115"/>
  <c r="J28" i="115" s="1"/>
  <c r="I19" i="115"/>
  <c r="I13" i="115"/>
  <c r="I12" i="115"/>
  <c r="G23" i="115"/>
  <c r="J23" i="115" s="1"/>
  <c r="G43" i="115"/>
  <c r="J43" i="115" s="1"/>
  <c r="G44" i="115"/>
  <c r="J44" i="115" s="1"/>
  <c r="G42" i="115"/>
  <c r="G41" i="115"/>
  <c r="J41" i="115" s="1"/>
  <c r="G39" i="115"/>
  <c r="J39" i="115" s="1"/>
  <c r="G38" i="115"/>
  <c r="J38" i="115" s="1"/>
  <c r="G37" i="115"/>
  <c r="G36" i="115"/>
  <c r="J36" i="115" s="1"/>
  <c r="G34" i="115"/>
  <c r="J34" i="115" s="1"/>
  <c r="G33" i="115"/>
  <c r="G32" i="115"/>
  <c r="G31" i="115"/>
  <c r="J31" i="115" s="1"/>
  <c r="G30" i="115"/>
  <c r="G28" i="115"/>
  <c r="G27" i="115"/>
  <c r="G17" i="115"/>
  <c r="G16" i="115"/>
  <c r="G15" i="115"/>
  <c r="G7" i="115"/>
  <c r="J7" i="115" s="1"/>
  <c r="G11" i="115"/>
  <c r="G9" i="115"/>
  <c r="J9" i="115" s="1"/>
  <c r="G8" i="115"/>
  <c r="J8" i="115" s="1"/>
  <c r="G6" i="115"/>
  <c r="J11" i="115"/>
  <c r="G12" i="115"/>
  <c r="J12" i="115" s="1"/>
  <c r="G13" i="115"/>
  <c r="J15" i="115"/>
  <c r="J17" i="115"/>
  <c r="G18" i="115"/>
  <c r="J18" i="115" s="1"/>
  <c r="G19" i="115"/>
  <c r="G20" i="115"/>
  <c r="J20" i="115" s="1"/>
  <c r="G21" i="115"/>
  <c r="J21" i="115" s="1"/>
  <c r="G22" i="115"/>
  <c r="J22" i="115" s="1"/>
  <c r="G24" i="115"/>
  <c r="J24" i="115" s="1"/>
  <c r="G25" i="115"/>
  <c r="J25" i="115" s="1"/>
  <c r="G26" i="115"/>
  <c r="J26" i="115" s="1"/>
  <c r="J27" i="115"/>
  <c r="G29" i="115"/>
  <c r="J29" i="115" s="1"/>
  <c r="J37" i="115"/>
  <c r="G40" i="115"/>
  <c r="J40" i="115" s="1"/>
  <c r="J6" i="115"/>
  <c r="J19" i="115" l="1"/>
  <c r="J32" i="115"/>
  <c r="J10" i="115"/>
  <c r="J45" i="115" s="1"/>
  <c r="J30" i="115"/>
  <c r="J13" i="115"/>
  <c r="J16" i="115"/>
  <c r="E45" i="115" l="1"/>
  <c r="E14" i="115"/>
  <c r="G14" i="115" s="1"/>
  <c r="P55" i="114"/>
  <c r="P9" i="114"/>
  <c r="P23" i="114"/>
  <c r="P30" i="114"/>
  <c r="P50" i="114"/>
  <c r="R63" i="114"/>
  <c r="N23" i="114"/>
  <c r="K23" i="114"/>
  <c r="G23" i="114"/>
  <c r="E23" i="114"/>
  <c r="S23" i="114"/>
  <c r="O23" i="114"/>
  <c r="L23" i="114"/>
  <c r="M23" i="114"/>
  <c r="V22" i="114"/>
  <c r="Q22" i="114"/>
  <c r="K22" i="114"/>
  <c r="R22" i="114" s="1"/>
  <c r="J14" i="115" l="1"/>
  <c r="S63" i="114"/>
  <c r="P63" i="114"/>
  <c r="O63" i="114"/>
  <c r="N63" i="114"/>
  <c r="M63" i="114"/>
  <c r="L63" i="114"/>
  <c r="K63" i="114"/>
  <c r="J63" i="114"/>
  <c r="I63" i="114"/>
  <c r="G63" i="114"/>
  <c r="E63" i="114"/>
  <c r="U62" i="114"/>
  <c r="U63" i="114" s="1"/>
  <c r="T62" i="114"/>
  <c r="V62" i="114" s="1"/>
  <c r="V63" i="114" s="1"/>
  <c r="R62" i="114"/>
  <c r="Q62" i="114"/>
  <c r="Q63" i="114" s="1"/>
  <c r="P62" i="114"/>
  <c r="K62" i="114"/>
  <c r="S59" i="114"/>
  <c r="O59" i="114"/>
  <c r="N59" i="114"/>
  <c r="M59" i="114"/>
  <c r="L59" i="114"/>
  <c r="J59" i="114"/>
  <c r="I59" i="114"/>
  <c r="H59" i="114"/>
  <c r="G59" i="114"/>
  <c r="E59" i="114"/>
  <c r="U58" i="114"/>
  <c r="T58" i="114"/>
  <c r="V58" i="114" s="1"/>
  <c r="Q58" i="114"/>
  <c r="R58" i="114" s="1"/>
  <c r="P58" i="114"/>
  <c r="K58" i="114"/>
  <c r="V57" i="114"/>
  <c r="Q57" i="114"/>
  <c r="K57" i="114"/>
  <c r="V56" i="114"/>
  <c r="Q56" i="114"/>
  <c r="K56" i="114"/>
  <c r="R56" i="114" s="1"/>
  <c r="V55" i="114"/>
  <c r="U55" i="114"/>
  <c r="T55" i="114"/>
  <c r="Q55" i="114"/>
  <c r="P59" i="114"/>
  <c r="K55" i="114"/>
  <c r="U54" i="114"/>
  <c r="U59" i="114" s="1"/>
  <c r="T54" i="114"/>
  <c r="T59" i="114" s="1"/>
  <c r="Q54" i="114"/>
  <c r="K54" i="114"/>
  <c r="V53" i="114"/>
  <c r="Q53" i="114"/>
  <c r="K53" i="114"/>
  <c r="S50" i="114"/>
  <c r="O50" i="114"/>
  <c r="N50" i="114"/>
  <c r="M50" i="114"/>
  <c r="L50" i="114"/>
  <c r="J50" i="114"/>
  <c r="I50" i="114"/>
  <c r="I66" i="114" s="1"/>
  <c r="H50" i="114"/>
  <c r="G50" i="114"/>
  <c r="F50" i="114"/>
  <c r="E50" i="114"/>
  <c r="V49" i="114"/>
  <c r="R49" i="114"/>
  <c r="Q49" i="114"/>
  <c r="K49" i="114"/>
  <c r="V48" i="114"/>
  <c r="Q48" i="114"/>
  <c r="K48" i="114"/>
  <c r="R48" i="114" s="1"/>
  <c r="U47" i="114"/>
  <c r="V47" i="114" s="1"/>
  <c r="T47" i="114"/>
  <c r="P47" i="114"/>
  <c r="Q47" i="114" s="1"/>
  <c r="K47" i="114"/>
  <c r="U46" i="114"/>
  <c r="T46" i="114"/>
  <c r="V46" i="114" s="1"/>
  <c r="Q46" i="114"/>
  <c r="K46" i="114"/>
  <c r="V45" i="114"/>
  <c r="U45" i="114"/>
  <c r="T45" i="114"/>
  <c r="Q45" i="114"/>
  <c r="R45" i="114" s="1"/>
  <c r="K45" i="114"/>
  <c r="V44" i="114"/>
  <c r="Q44" i="114"/>
  <c r="R44" i="114" s="1"/>
  <c r="K44" i="114"/>
  <c r="V43" i="114"/>
  <c r="Q43" i="114"/>
  <c r="K43" i="114"/>
  <c r="V42" i="114"/>
  <c r="Q42" i="114"/>
  <c r="R42" i="114" s="1"/>
  <c r="K42" i="114"/>
  <c r="U41" i="114"/>
  <c r="T41" i="114"/>
  <c r="V41" i="114" s="1"/>
  <c r="P41" i="114"/>
  <c r="Q41" i="114" s="1"/>
  <c r="K41" i="114"/>
  <c r="U40" i="114"/>
  <c r="T40" i="114"/>
  <c r="V40" i="114" s="1"/>
  <c r="P40" i="114"/>
  <c r="Q40" i="114" s="1"/>
  <c r="R40" i="114" s="1"/>
  <c r="K40" i="114"/>
  <c r="V39" i="114"/>
  <c r="Q39" i="114"/>
  <c r="K39" i="114"/>
  <c r="R39" i="114" s="1"/>
  <c r="V38" i="114"/>
  <c r="U38" i="114"/>
  <c r="T38" i="114"/>
  <c r="Q38" i="114"/>
  <c r="R38" i="114" s="1"/>
  <c r="P38" i="114"/>
  <c r="K38" i="114"/>
  <c r="U37" i="114"/>
  <c r="V37" i="114" s="1"/>
  <c r="T37" i="114"/>
  <c r="P37" i="114"/>
  <c r="Q37" i="114" s="1"/>
  <c r="K37" i="114"/>
  <c r="U36" i="114"/>
  <c r="T36" i="114"/>
  <c r="V36" i="114" s="1"/>
  <c r="P36" i="114"/>
  <c r="Q36" i="114" s="1"/>
  <c r="K36" i="114"/>
  <c r="V35" i="114"/>
  <c r="Q35" i="114"/>
  <c r="K35" i="114"/>
  <c r="R35" i="114" s="1"/>
  <c r="U34" i="114"/>
  <c r="T34" i="114"/>
  <c r="V34" i="114" s="1"/>
  <c r="P34" i="114"/>
  <c r="Q34" i="114" s="1"/>
  <c r="R34" i="114" s="1"/>
  <c r="K34" i="114"/>
  <c r="U50" i="114"/>
  <c r="S30" i="114"/>
  <c r="O30" i="114"/>
  <c r="N30" i="114"/>
  <c r="M30" i="114"/>
  <c r="L30" i="114"/>
  <c r="J30" i="114"/>
  <c r="I30" i="114"/>
  <c r="G30" i="114"/>
  <c r="E30" i="114"/>
  <c r="U29" i="114"/>
  <c r="V29" i="114" s="1"/>
  <c r="T29" i="114"/>
  <c r="P29" i="114"/>
  <c r="Q29" i="114" s="1"/>
  <c r="K29" i="114"/>
  <c r="U28" i="114"/>
  <c r="T28" i="114"/>
  <c r="V28" i="114" s="1"/>
  <c r="P28" i="114"/>
  <c r="Q28" i="114" s="1"/>
  <c r="K28" i="114"/>
  <c r="U27" i="114"/>
  <c r="T27" i="114"/>
  <c r="V27" i="114" s="1"/>
  <c r="P27" i="114"/>
  <c r="Q27" i="114" s="1"/>
  <c r="K27" i="114"/>
  <c r="V26" i="114"/>
  <c r="V30" i="114" s="1"/>
  <c r="U26" i="114"/>
  <c r="T26" i="114"/>
  <c r="T30" i="114" s="1"/>
  <c r="Q26" i="114"/>
  <c r="R26" i="114" s="1"/>
  <c r="P26" i="114"/>
  <c r="K26" i="114"/>
  <c r="J23" i="114"/>
  <c r="I23" i="114"/>
  <c r="V21" i="114"/>
  <c r="R21" i="114"/>
  <c r="Q21" i="114"/>
  <c r="K21" i="114"/>
  <c r="V20" i="114"/>
  <c r="Q20" i="114"/>
  <c r="K20" i="114"/>
  <c r="U19" i="114"/>
  <c r="V19" i="114" s="1"/>
  <c r="T19" i="114"/>
  <c r="P19" i="114"/>
  <c r="Q19" i="114" s="1"/>
  <c r="R19" i="114" s="1"/>
  <c r="K19" i="114"/>
  <c r="U18" i="114"/>
  <c r="T18" i="114"/>
  <c r="V18" i="114" s="1"/>
  <c r="P18" i="114"/>
  <c r="Q18" i="114" s="1"/>
  <c r="K18" i="114"/>
  <c r="U17" i="114"/>
  <c r="U23" i="114" s="1"/>
  <c r="T17" i="114"/>
  <c r="V16" i="114"/>
  <c r="U16" i="114"/>
  <c r="T16" i="114"/>
  <c r="Q16" i="114"/>
  <c r="P16" i="114"/>
  <c r="K16" i="114"/>
  <c r="V15" i="114"/>
  <c r="Q15" i="114"/>
  <c r="K15" i="114"/>
  <c r="U14" i="114"/>
  <c r="V14" i="114" s="1"/>
  <c r="T14" i="114"/>
  <c r="P14" i="114"/>
  <c r="Q14" i="114" s="1"/>
  <c r="R14" i="114" s="1"/>
  <c r="K14" i="114"/>
  <c r="V13" i="114"/>
  <c r="Q13" i="114"/>
  <c r="R13" i="114" s="1"/>
  <c r="K13" i="114"/>
  <c r="U12" i="114"/>
  <c r="T12" i="114"/>
  <c r="P12" i="114"/>
  <c r="K12" i="114"/>
  <c r="S9" i="114"/>
  <c r="S66" i="114" s="1"/>
  <c r="O9" i="114"/>
  <c r="N9" i="114"/>
  <c r="N66" i="114" s="1"/>
  <c r="M9" i="114"/>
  <c r="M66" i="114" s="1"/>
  <c r="L9" i="114"/>
  <c r="L66" i="114" s="1"/>
  <c r="K9" i="114"/>
  <c r="J9" i="114"/>
  <c r="I9" i="114"/>
  <c r="G9" i="114"/>
  <c r="G66" i="114" s="1"/>
  <c r="E9" i="114"/>
  <c r="U8" i="114"/>
  <c r="U9" i="114" s="1"/>
  <c r="T8" i="114"/>
  <c r="V8" i="114" s="1"/>
  <c r="P8" i="114"/>
  <c r="Q8" i="114" s="1"/>
  <c r="R8" i="114" s="1"/>
  <c r="K8" i="114"/>
  <c r="V7" i="114"/>
  <c r="V9" i="114" s="1"/>
  <c r="U7" i="114"/>
  <c r="T7" i="114"/>
  <c r="Q7" i="114"/>
  <c r="P7" i="114"/>
  <c r="K7" i="114"/>
  <c r="R46" i="114" l="1"/>
  <c r="R18" i="114"/>
  <c r="Q23" i="114"/>
  <c r="Q9" i="114"/>
  <c r="Q59" i="114"/>
  <c r="R54" i="114"/>
  <c r="R20" i="114"/>
  <c r="R15" i="114"/>
  <c r="R57" i="114"/>
  <c r="R28" i="114"/>
  <c r="E66" i="114"/>
  <c r="O66" i="114"/>
  <c r="J66" i="114"/>
  <c r="V17" i="114"/>
  <c r="V23" i="114" s="1"/>
  <c r="T23" i="114"/>
  <c r="K59" i="114"/>
  <c r="R55" i="114"/>
  <c r="R37" i="114"/>
  <c r="R43" i="114"/>
  <c r="R47" i="114"/>
  <c r="K30" i="114"/>
  <c r="R27" i="114"/>
  <c r="R29" i="114"/>
  <c r="R16" i="114"/>
  <c r="R12" i="114"/>
  <c r="V50" i="114"/>
  <c r="R36" i="114"/>
  <c r="Q50" i="114"/>
  <c r="R41" i="114"/>
  <c r="U66" i="114"/>
  <c r="Q30" i="114"/>
  <c r="K50" i="114"/>
  <c r="R7" i="114"/>
  <c r="R9" i="114" s="1"/>
  <c r="P66" i="114"/>
  <c r="T63" i="114"/>
  <c r="V12" i="114"/>
  <c r="R53" i="114"/>
  <c r="U30" i="114"/>
  <c r="T9" i="114"/>
  <c r="T50" i="114"/>
  <c r="V54" i="114"/>
  <c r="V59" i="114" s="1"/>
  <c r="Q12" i="114"/>
  <c r="I63" i="113"/>
  <c r="I59" i="113"/>
  <c r="I50" i="113"/>
  <c r="G50" i="113"/>
  <c r="G23" i="113"/>
  <c r="G9" i="113"/>
  <c r="L63" i="113"/>
  <c r="M63" i="113"/>
  <c r="N63" i="113"/>
  <c r="O63" i="113"/>
  <c r="S63" i="113"/>
  <c r="L59" i="113"/>
  <c r="M59" i="113"/>
  <c r="N59" i="113"/>
  <c r="O59" i="113"/>
  <c r="S59" i="113"/>
  <c r="L50" i="113"/>
  <c r="M50" i="113"/>
  <c r="N50" i="113"/>
  <c r="O50" i="113"/>
  <c r="S50" i="113"/>
  <c r="L30" i="113"/>
  <c r="M30" i="113"/>
  <c r="N30" i="113"/>
  <c r="O30" i="113"/>
  <c r="S30" i="113"/>
  <c r="I30" i="113"/>
  <c r="L23" i="113"/>
  <c r="M23" i="113"/>
  <c r="N23" i="113"/>
  <c r="O23" i="113"/>
  <c r="S23" i="113"/>
  <c r="L9" i="113"/>
  <c r="M9" i="113"/>
  <c r="N9" i="113"/>
  <c r="O9" i="113"/>
  <c r="S9" i="113"/>
  <c r="E9" i="113"/>
  <c r="R23" i="114" l="1"/>
  <c r="R59" i="114"/>
  <c r="R50" i="114"/>
  <c r="R30" i="114"/>
  <c r="Q66" i="114"/>
  <c r="V66" i="114"/>
  <c r="K66" i="114"/>
  <c r="R66" i="114"/>
  <c r="T66" i="114"/>
  <c r="P58" i="113"/>
  <c r="Q58" i="113" s="1"/>
  <c r="V21" i="113"/>
  <c r="Q21" i="113"/>
  <c r="K21" i="113"/>
  <c r="V48" i="113"/>
  <c r="Q48" i="113"/>
  <c r="K48" i="113"/>
  <c r="V49" i="113"/>
  <c r="Q49" i="113"/>
  <c r="K49" i="113"/>
  <c r="R48" i="113" l="1"/>
  <c r="R21" i="113"/>
  <c r="R49" i="113"/>
  <c r="U58" i="113"/>
  <c r="T58" i="113"/>
  <c r="U54" i="113"/>
  <c r="T54" i="113"/>
  <c r="Q54" i="113"/>
  <c r="U46" i="113"/>
  <c r="T46" i="113"/>
  <c r="V46" i="113" s="1"/>
  <c r="Q46" i="113"/>
  <c r="U45" i="113"/>
  <c r="T45" i="113"/>
  <c r="V45" i="113" s="1"/>
  <c r="Q45" i="113"/>
  <c r="J63" i="113"/>
  <c r="G63" i="113"/>
  <c r="E63" i="113"/>
  <c r="U62" i="113"/>
  <c r="U63" i="113" s="1"/>
  <c r="T62" i="113"/>
  <c r="P62" i="113"/>
  <c r="K62" i="113"/>
  <c r="K63" i="113" s="1"/>
  <c r="J59" i="113"/>
  <c r="H59" i="113"/>
  <c r="G59" i="113"/>
  <c r="E59" i="113"/>
  <c r="V58" i="113"/>
  <c r="K58" i="113"/>
  <c r="R58" i="113" s="1"/>
  <c r="V57" i="113"/>
  <c r="Q57" i="113"/>
  <c r="K57" i="113"/>
  <c r="R57" i="113" s="1"/>
  <c r="V56" i="113"/>
  <c r="Q56" i="113"/>
  <c r="K56" i="113"/>
  <c r="U55" i="113"/>
  <c r="T55" i="113"/>
  <c r="V55" i="113" s="1"/>
  <c r="P55" i="113"/>
  <c r="K55" i="113"/>
  <c r="K54" i="113"/>
  <c r="V53" i="113"/>
  <c r="Q53" i="113"/>
  <c r="K53" i="113"/>
  <c r="J50" i="113"/>
  <c r="H50" i="113"/>
  <c r="F50" i="113"/>
  <c r="E50" i="113"/>
  <c r="U47" i="113"/>
  <c r="T47" i="113"/>
  <c r="V47" i="113" s="1"/>
  <c r="P47" i="113"/>
  <c r="Q47" i="113" s="1"/>
  <c r="K47" i="113"/>
  <c r="K46" i="113"/>
  <c r="K45" i="113"/>
  <c r="V44" i="113"/>
  <c r="Q44" i="113"/>
  <c r="K44" i="113"/>
  <c r="V43" i="113"/>
  <c r="Q43" i="113"/>
  <c r="K43" i="113"/>
  <c r="V42" i="113"/>
  <c r="Q42" i="113"/>
  <c r="K42" i="113"/>
  <c r="U41" i="113"/>
  <c r="T41" i="113"/>
  <c r="V41" i="113" s="1"/>
  <c r="P41" i="113"/>
  <c r="Q41" i="113" s="1"/>
  <c r="K41" i="113"/>
  <c r="U40" i="113"/>
  <c r="T40" i="113"/>
  <c r="P40" i="113"/>
  <c r="Q40" i="113" s="1"/>
  <c r="K40" i="113"/>
  <c r="V39" i="113"/>
  <c r="Q39" i="113"/>
  <c r="K39" i="113"/>
  <c r="U38" i="113"/>
  <c r="T38" i="113"/>
  <c r="P38" i="113"/>
  <c r="Q38" i="113" s="1"/>
  <c r="K38" i="113"/>
  <c r="U37" i="113"/>
  <c r="T37" i="113"/>
  <c r="P37" i="113"/>
  <c r="Q37" i="113" s="1"/>
  <c r="K37" i="113"/>
  <c r="U36" i="113"/>
  <c r="T36" i="113"/>
  <c r="P36" i="113"/>
  <c r="Q36" i="113" s="1"/>
  <c r="R36" i="113" s="1"/>
  <c r="K36" i="113"/>
  <c r="V35" i="113"/>
  <c r="Q35" i="113"/>
  <c r="K35" i="113"/>
  <c r="R35" i="113" s="1"/>
  <c r="U34" i="113"/>
  <c r="T34" i="113"/>
  <c r="V34" i="113" s="1"/>
  <c r="P34" i="113"/>
  <c r="K34" i="113"/>
  <c r="U33" i="113"/>
  <c r="T33" i="113"/>
  <c r="P33" i="113"/>
  <c r="P50" i="113" s="1"/>
  <c r="K33" i="113"/>
  <c r="J30" i="113"/>
  <c r="G30" i="113"/>
  <c r="G66" i="113" s="1"/>
  <c r="E30" i="113"/>
  <c r="U29" i="113"/>
  <c r="T29" i="113"/>
  <c r="P29" i="113"/>
  <c r="Q29" i="113" s="1"/>
  <c r="K29" i="113"/>
  <c r="U28" i="113"/>
  <c r="T28" i="113"/>
  <c r="P28" i="113"/>
  <c r="Q28" i="113" s="1"/>
  <c r="K28" i="113"/>
  <c r="U27" i="113"/>
  <c r="T27" i="113"/>
  <c r="Q27" i="113"/>
  <c r="P27" i="113"/>
  <c r="K27" i="113"/>
  <c r="U26" i="113"/>
  <c r="U30" i="113" s="1"/>
  <c r="T26" i="113"/>
  <c r="T30" i="113" s="1"/>
  <c r="P26" i="113"/>
  <c r="K26" i="113"/>
  <c r="K30" i="113" s="1"/>
  <c r="J23" i="113"/>
  <c r="I23" i="113"/>
  <c r="E23" i="113"/>
  <c r="V20" i="113"/>
  <c r="Q20" i="113"/>
  <c r="K20" i="113"/>
  <c r="U19" i="113"/>
  <c r="T19" i="113"/>
  <c r="P19" i="113"/>
  <c r="Q19" i="113" s="1"/>
  <c r="K19" i="113"/>
  <c r="U18" i="113"/>
  <c r="T18" i="113"/>
  <c r="P18" i="113"/>
  <c r="Q18" i="113" s="1"/>
  <c r="K18" i="113"/>
  <c r="U17" i="113"/>
  <c r="T17" i="113"/>
  <c r="P17" i="113"/>
  <c r="Q17" i="113" s="1"/>
  <c r="K17" i="113"/>
  <c r="U16" i="113"/>
  <c r="T16" i="113"/>
  <c r="P16" i="113"/>
  <c r="Q16" i="113" s="1"/>
  <c r="K16" i="113"/>
  <c r="V15" i="113"/>
  <c r="Q15" i="113"/>
  <c r="K15" i="113"/>
  <c r="U14" i="113"/>
  <c r="T14" i="113"/>
  <c r="P14" i="113"/>
  <c r="Q14" i="113" s="1"/>
  <c r="K14" i="113"/>
  <c r="V13" i="113"/>
  <c r="Q13" i="113"/>
  <c r="K13" i="113"/>
  <c r="U12" i="113"/>
  <c r="T12" i="113"/>
  <c r="P12" i="113"/>
  <c r="K12" i="113"/>
  <c r="M66" i="113"/>
  <c r="L66" i="113"/>
  <c r="J9" i="113"/>
  <c r="I9" i="113"/>
  <c r="V8" i="113"/>
  <c r="U8" i="113"/>
  <c r="T8" i="113"/>
  <c r="P8" i="113"/>
  <c r="Q8" i="113" s="1"/>
  <c r="K8" i="113"/>
  <c r="U7" i="113"/>
  <c r="U9" i="113" s="1"/>
  <c r="T7" i="113"/>
  <c r="P7" i="113"/>
  <c r="P9" i="113" s="1"/>
  <c r="K7" i="113"/>
  <c r="K9" i="113" s="1"/>
  <c r="U23" i="113" l="1"/>
  <c r="V62" i="113"/>
  <c r="V63" i="113" s="1"/>
  <c r="T63" i="113"/>
  <c r="T50" i="113"/>
  <c r="U59" i="113"/>
  <c r="J66" i="113"/>
  <c r="Q12" i="113"/>
  <c r="Q23" i="113" s="1"/>
  <c r="P23" i="113"/>
  <c r="P66" i="113" s="1"/>
  <c r="V27" i="113"/>
  <c r="U50" i="113"/>
  <c r="R53" i="113"/>
  <c r="K59" i="113"/>
  <c r="E66" i="113"/>
  <c r="R14" i="113"/>
  <c r="V54" i="113"/>
  <c r="V59" i="113" s="1"/>
  <c r="T59" i="113"/>
  <c r="V7" i="113"/>
  <c r="V9" i="113" s="1"/>
  <c r="T9" i="113"/>
  <c r="K23" i="113"/>
  <c r="V12" i="113"/>
  <c r="T23" i="113"/>
  <c r="V14" i="113"/>
  <c r="P30" i="113"/>
  <c r="K50" i="113"/>
  <c r="R39" i="113"/>
  <c r="Q55" i="113"/>
  <c r="Q59" i="113" s="1"/>
  <c r="P59" i="113"/>
  <c r="Q62" i="113"/>
  <c r="Q63" i="113" s="1"/>
  <c r="P63" i="113"/>
  <c r="R8" i="113"/>
  <c r="R29" i="113"/>
  <c r="R44" i="113"/>
  <c r="R56" i="113"/>
  <c r="R20" i="113"/>
  <c r="R43" i="113"/>
  <c r="R42" i="113"/>
  <c r="R54" i="113"/>
  <c r="R16" i="113"/>
  <c r="I66" i="113"/>
  <c r="V40" i="113"/>
  <c r="R47" i="113"/>
  <c r="R45" i="113"/>
  <c r="V17" i="113"/>
  <c r="V18" i="113"/>
  <c r="V19" i="113"/>
  <c r="U66" i="113"/>
  <c r="V38" i="113"/>
  <c r="R37" i="113"/>
  <c r="R46" i="113"/>
  <c r="Q34" i="113"/>
  <c r="R34" i="113" s="1"/>
  <c r="R13" i="113"/>
  <c r="R15" i="113"/>
  <c r="V36" i="113"/>
  <c r="R40" i="113"/>
  <c r="R17" i="113"/>
  <c r="V16" i="113"/>
  <c r="R19" i="113"/>
  <c r="R27" i="113"/>
  <c r="V28" i="113"/>
  <c r="V37" i="113"/>
  <c r="O66" i="113"/>
  <c r="S66" i="113"/>
  <c r="N66" i="113"/>
  <c r="R38" i="113"/>
  <c r="R41" i="113"/>
  <c r="R28" i="113"/>
  <c r="R18" i="113"/>
  <c r="R62" i="113"/>
  <c r="R63" i="113" s="1"/>
  <c r="Q7" i="113"/>
  <c r="Q9" i="113" s="1"/>
  <c r="Q26" i="113"/>
  <c r="Q30" i="113" s="1"/>
  <c r="V26" i="113"/>
  <c r="Q33" i="113"/>
  <c r="Q50" i="113" s="1"/>
  <c r="V33" i="113"/>
  <c r="V29" i="113"/>
  <c r="V41" i="112"/>
  <c r="Q41" i="112"/>
  <c r="K41" i="112"/>
  <c r="V23" i="113" l="1"/>
  <c r="R12" i="113"/>
  <c r="V30" i="113"/>
  <c r="R55" i="113"/>
  <c r="R59" i="113"/>
  <c r="R23" i="113"/>
  <c r="V50" i="113"/>
  <c r="K66" i="113"/>
  <c r="R7" i="113"/>
  <c r="R9" i="113" s="1"/>
  <c r="T66" i="113"/>
  <c r="R33" i="113"/>
  <c r="R50" i="113" s="1"/>
  <c r="R26" i="113"/>
  <c r="R30" i="113" s="1"/>
  <c r="R41" i="112"/>
  <c r="S59" i="112"/>
  <c r="O59" i="112"/>
  <c r="N59" i="112"/>
  <c r="M59" i="112"/>
  <c r="L59" i="112"/>
  <c r="J59" i="112"/>
  <c r="I59" i="112"/>
  <c r="G59" i="112"/>
  <c r="E59" i="112"/>
  <c r="U58" i="112"/>
  <c r="U59" i="112" s="1"/>
  <c r="T58" i="112"/>
  <c r="V58" i="112" s="1"/>
  <c r="V59" i="112" s="1"/>
  <c r="P58" i="112"/>
  <c r="Q58" i="112" s="1"/>
  <c r="Q59" i="112" s="1"/>
  <c r="K58" i="112"/>
  <c r="K59" i="112" s="1"/>
  <c r="S55" i="112"/>
  <c r="O55" i="112"/>
  <c r="N55" i="112"/>
  <c r="M55" i="112"/>
  <c r="L55" i="112"/>
  <c r="J55" i="112"/>
  <c r="I55" i="112"/>
  <c r="H55" i="112"/>
  <c r="G55" i="112"/>
  <c r="E55" i="112"/>
  <c r="V54" i="112"/>
  <c r="Q54" i="112"/>
  <c r="K54" i="112"/>
  <c r="V53" i="112"/>
  <c r="Q53" i="112"/>
  <c r="K53" i="112"/>
  <c r="V52" i="112"/>
  <c r="Q52" i="112"/>
  <c r="K52" i="112"/>
  <c r="U51" i="112"/>
  <c r="U55" i="112" s="1"/>
  <c r="T51" i="112"/>
  <c r="V51" i="112" s="1"/>
  <c r="P51" i="112"/>
  <c r="Q51" i="112" s="1"/>
  <c r="K51" i="112"/>
  <c r="V50" i="112"/>
  <c r="Q50" i="112"/>
  <c r="K50" i="112"/>
  <c r="R50" i="112" s="1"/>
  <c r="V49" i="112"/>
  <c r="V55" i="112" s="1"/>
  <c r="Q49" i="112"/>
  <c r="K49" i="112"/>
  <c r="R49" i="112" s="1"/>
  <c r="S46" i="112"/>
  <c r="O46" i="112"/>
  <c r="N46" i="112"/>
  <c r="M46" i="112"/>
  <c r="L46" i="112"/>
  <c r="J46" i="112"/>
  <c r="I46" i="112"/>
  <c r="H46" i="112"/>
  <c r="G46" i="112"/>
  <c r="F46" i="112"/>
  <c r="E46" i="112"/>
  <c r="U45" i="112"/>
  <c r="T45" i="112"/>
  <c r="P45" i="112"/>
  <c r="Q45" i="112" s="1"/>
  <c r="K45" i="112"/>
  <c r="V44" i="112"/>
  <c r="Q44" i="112"/>
  <c r="K44" i="112"/>
  <c r="V43" i="112"/>
  <c r="Q43" i="112"/>
  <c r="K43" i="112"/>
  <c r="V42" i="112"/>
  <c r="Q42" i="112"/>
  <c r="K42" i="112"/>
  <c r="V40" i="112"/>
  <c r="Q40" i="112"/>
  <c r="K40" i="112"/>
  <c r="U39" i="112"/>
  <c r="T39" i="112"/>
  <c r="V39" i="112" s="1"/>
  <c r="P39" i="112"/>
  <c r="Q39" i="112" s="1"/>
  <c r="R39" i="112" s="1"/>
  <c r="K39" i="112"/>
  <c r="U38" i="112"/>
  <c r="V38" i="112" s="1"/>
  <c r="T38" i="112"/>
  <c r="P38" i="112"/>
  <c r="Q38" i="112" s="1"/>
  <c r="K38" i="112"/>
  <c r="R38" i="112" s="1"/>
  <c r="V37" i="112"/>
  <c r="Q37" i="112"/>
  <c r="K37" i="112"/>
  <c r="U36" i="112"/>
  <c r="T36" i="112"/>
  <c r="V36" i="112" s="1"/>
  <c r="P36" i="112"/>
  <c r="Q36" i="112" s="1"/>
  <c r="K36" i="112"/>
  <c r="U35" i="112"/>
  <c r="T35" i="112"/>
  <c r="V35" i="112" s="1"/>
  <c r="P35" i="112"/>
  <c r="Q35" i="112" s="1"/>
  <c r="K35" i="112"/>
  <c r="V34" i="112"/>
  <c r="U34" i="112"/>
  <c r="T34" i="112"/>
  <c r="P34" i="112"/>
  <c r="Q34" i="112" s="1"/>
  <c r="R34" i="112" s="1"/>
  <c r="K34" i="112"/>
  <c r="V33" i="112"/>
  <c r="Q33" i="112"/>
  <c r="R33" i="112" s="1"/>
  <c r="K33" i="112"/>
  <c r="U32" i="112"/>
  <c r="T32" i="112"/>
  <c r="P32" i="112"/>
  <c r="Q32" i="112" s="1"/>
  <c r="K32" i="112"/>
  <c r="U31" i="112"/>
  <c r="T31" i="112"/>
  <c r="V31" i="112" s="1"/>
  <c r="P31" i="112"/>
  <c r="Q31" i="112" s="1"/>
  <c r="K31" i="112"/>
  <c r="S28" i="112"/>
  <c r="O28" i="112"/>
  <c r="N28" i="112"/>
  <c r="M28" i="112"/>
  <c r="L28" i="112"/>
  <c r="J28" i="112"/>
  <c r="I28" i="112"/>
  <c r="G28" i="112"/>
  <c r="E28" i="112"/>
  <c r="U27" i="112"/>
  <c r="T27" i="112"/>
  <c r="V27" i="112" s="1"/>
  <c r="P27" i="112"/>
  <c r="Q27" i="112" s="1"/>
  <c r="K27" i="112"/>
  <c r="U26" i="112"/>
  <c r="V26" i="112" s="1"/>
  <c r="T26" i="112"/>
  <c r="P26" i="112"/>
  <c r="Q26" i="112" s="1"/>
  <c r="R26" i="112" s="1"/>
  <c r="K26" i="112"/>
  <c r="U25" i="112"/>
  <c r="V25" i="112" s="1"/>
  <c r="T25" i="112"/>
  <c r="P25" i="112"/>
  <c r="Q25" i="112" s="1"/>
  <c r="K25" i="112"/>
  <c r="U24" i="112"/>
  <c r="T24" i="112"/>
  <c r="V24" i="112" s="1"/>
  <c r="P24" i="112"/>
  <c r="Q24" i="112" s="1"/>
  <c r="K24" i="112"/>
  <c r="S21" i="112"/>
  <c r="O21" i="112"/>
  <c r="N21" i="112"/>
  <c r="M21" i="112"/>
  <c r="L21" i="112"/>
  <c r="J21" i="112"/>
  <c r="I21" i="112"/>
  <c r="G21" i="112"/>
  <c r="E21" i="112"/>
  <c r="V20" i="112"/>
  <c r="Q20" i="112"/>
  <c r="K20" i="112"/>
  <c r="R20" i="112" s="1"/>
  <c r="U19" i="112"/>
  <c r="T19" i="112"/>
  <c r="V19" i="112" s="1"/>
  <c r="P19" i="112"/>
  <c r="Q19" i="112" s="1"/>
  <c r="K19" i="112"/>
  <c r="U18" i="112"/>
  <c r="T18" i="112"/>
  <c r="V18" i="112" s="1"/>
  <c r="P18" i="112"/>
  <c r="Q18" i="112" s="1"/>
  <c r="R18" i="112" s="1"/>
  <c r="K18" i="112"/>
  <c r="U17" i="112"/>
  <c r="V17" i="112" s="1"/>
  <c r="T17" i="112"/>
  <c r="P17" i="112"/>
  <c r="Q17" i="112" s="1"/>
  <c r="K17" i="112"/>
  <c r="U16" i="112"/>
  <c r="T16" i="112"/>
  <c r="P16" i="112"/>
  <c r="Q16" i="112" s="1"/>
  <c r="K16" i="112"/>
  <c r="V15" i="112"/>
  <c r="Q15" i="112"/>
  <c r="K15" i="112"/>
  <c r="R15" i="112" s="1"/>
  <c r="U14" i="112"/>
  <c r="T14" i="112"/>
  <c r="T21" i="112" s="1"/>
  <c r="P14" i="112"/>
  <c r="Q14" i="112" s="1"/>
  <c r="R14" i="112" s="1"/>
  <c r="K14" i="112"/>
  <c r="V13" i="112"/>
  <c r="Q13" i="112"/>
  <c r="K13" i="112"/>
  <c r="U12" i="112"/>
  <c r="U21" i="112" s="1"/>
  <c r="T12" i="112"/>
  <c r="P12" i="112"/>
  <c r="Q12" i="112" s="1"/>
  <c r="K12" i="112"/>
  <c r="S9" i="112"/>
  <c r="O9" i="112"/>
  <c r="N9" i="112"/>
  <c r="M9" i="112"/>
  <c r="L9" i="112"/>
  <c r="J9" i="112"/>
  <c r="I9" i="112"/>
  <c r="G9" i="112"/>
  <c r="E9" i="112"/>
  <c r="U8" i="112"/>
  <c r="T8" i="112"/>
  <c r="P8" i="112"/>
  <c r="Q8" i="112" s="1"/>
  <c r="K8" i="112"/>
  <c r="U7" i="112"/>
  <c r="T7" i="112"/>
  <c r="V7" i="112" s="1"/>
  <c r="P7" i="112"/>
  <c r="Q7" i="112" s="1"/>
  <c r="Q9" i="112" s="1"/>
  <c r="K7" i="112"/>
  <c r="K9" i="112" s="1"/>
  <c r="R66" i="113" l="1"/>
  <c r="U9" i="112"/>
  <c r="J62" i="112"/>
  <c r="V28" i="112"/>
  <c r="U46" i="112"/>
  <c r="V32" i="112"/>
  <c r="R36" i="112"/>
  <c r="R43" i="112"/>
  <c r="V45" i="112"/>
  <c r="V12" i="112"/>
  <c r="R52" i="112"/>
  <c r="E62" i="112"/>
  <c r="V16" i="112"/>
  <c r="U28" i="112"/>
  <c r="R27" i="112"/>
  <c r="R37" i="112"/>
  <c r="R54" i="112"/>
  <c r="P59" i="112"/>
  <c r="V66" i="113"/>
  <c r="Q66" i="113"/>
  <c r="R19" i="112"/>
  <c r="Q28" i="112"/>
  <c r="R35" i="112"/>
  <c r="R32" i="112"/>
  <c r="R13" i="112"/>
  <c r="N62" i="112"/>
  <c r="R53" i="112"/>
  <c r="R44" i="112"/>
  <c r="I62" i="112"/>
  <c r="K28" i="112"/>
  <c r="K46" i="112"/>
  <c r="G62" i="112"/>
  <c r="O62" i="112"/>
  <c r="S62" i="112"/>
  <c r="M62" i="112"/>
  <c r="Q46" i="112"/>
  <c r="R40" i="112"/>
  <c r="R42" i="112"/>
  <c r="L62" i="112"/>
  <c r="R55" i="112"/>
  <c r="U62" i="112"/>
  <c r="Q21" i="112"/>
  <c r="R16" i="112"/>
  <c r="R17" i="112"/>
  <c r="R25" i="112"/>
  <c r="R45" i="112"/>
  <c r="Q55" i="112"/>
  <c r="R8" i="112"/>
  <c r="V46" i="112"/>
  <c r="R51" i="112"/>
  <c r="V8" i="112"/>
  <c r="V9" i="112" s="1"/>
  <c r="R7" i="112"/>
  <c r="R9" i="112" s="1"/>
  <c r="P9" i="112"/>
  <c r="T9" i="112"/>
  <c r="V14" i="112"/>
  <c r="V21" i="112" s="1"/>
  <c r="R24" i="112"/>
  <c r="R31" i="112"/>
  <c r="R58" i="112"/>
  <c r="R59" i="112" s="1"/>
  <c r="P21" i="112"/>
  <c r="P28" i="112"/>
  <c r="T28" i="112"/>
  <c r="P46" i="112"/>
  <c r="T46" i="112"/>
  <c r="P55" i="112"/>
  <c r="T55" i="112"/>
  <c r="K21" i="112"/>
  <c r="K55" i="112"/>
  <c r="T59" i="112"/>
  <c r="R12" i="112"/>
  <c r="G46" i="111"/>
  <c r="G21" i="111"/>
  <c r="P45" i="111"/>
  <c r="P58" i="111"/>
  <c r="U45" i="111"/>
  <c r="T45" i="111"/>
  <c r="R28" i="112" l="1"/>
  <c r="Q62" i="112"/>
  <c r="R46" i="112"/>
  <c r="K62" i="112"/>
  <c r="V62" i="112"/>
  <c r="R21" i="112"/>
  <c r="P62" i="112"/>
  <c r="T62" i="112"/>
  <c r="U58" i="111"/>
  <c r="T58" i="111"/>
  <c r="P59" i="111"/>
  <c r="R62" i="112" l="1"/>
  <c r="V44" i="111" l="1"/>
  <c r="Q44" i="111"/>
  <c r="K44" i="111"/>
  <c r="R44" i="111" s="1"/>
  <c r="V20" i="111"/>
  <c r="Q20" i="111"/>
  <c r="K20" i="111"/>
  <c r="U19" i="111"/>
  <c r="T19" i="111"/>
  <c r="P19" i="111"/>
  <c r="Q19" i="111" s="1"/>
  <c r="K19" i="111"/>
  <c r="V19" i="111" l="1"/>
  <c r="R20" i="111"/>
  <c r="R19" i="111"/>
  <c r="S59" i="111" l="1"/>
  <c r="O59" i="111"/>
  <c r="N59" i="111"/>
  <c r="M59" i="111"/>
  <c r="L59" i="111"/>
  <c r="J59" i="111"/>
  <c r="I59" i="111"/>
  <c r="G59" i="111"/>
  <c r="E59" i="111"/>
  <c r="U59" i="111"/>
  <c r="V58" i="111"/>
  <c r="V59" i="111" s="1"/>
  <c r="Q58" i="111"/>
  <c r="Q59" i="111" s="1"/>
  <c r="K58" i="111"/>
  <c r="K59" i="111" s="1"/>
  <c r="S55" i="111"/>
  <c r="O55" i="111"/>
  <c r="N55" i="111"/>
  <c r="M55" i="111"/>
  <c r="L55" i="111"/>
  <c r="J55" i="111"/>
  <c r="I55" i="111"/>
  <c r="H55" i="111"/>
  <c r="G55" i="111"/>
  <c r="E55" i="111"/>
  <c r="V54" i="111"/>
  <c r="Q54" i="111"/>
  <c r="K54" i="111"/>
  <c r="V53" i="111"/>
  <c r="Q53" i="111"/>
  <c r="R53" i="111" s="1"/>
  <c r="K53" i="111"/>
  <c r="V52" i="111"/>
  <c r="Q52" i="111"/>
  <c r="K52" i="111"/>
  <c r="U51" i="111"/>
  <c r="T51" i="111"/>
  <c r="V51" i="111" s="1"/>
  <c r="P51" i="111"/>
  <c r="K51" i="111"/>
  <c r="V50" i="111"/>
  <c r="Q50" i="111"/>
  <c r="K50" i="111"/>
  <c r="V49" i="111"/>
  <c r="U55" i="111"/>
  <c r="T55" i="111"/>
  <c r="Q49" i="111"/>
  <c r="K49" i="111"/>
  <c r="S46" i="111"/>
  <c r="O46" i="111"/>
  <c r="N46" i="111"/>
  <c r="M46" i="111"/>
  <c r="L46" i="111"/>
  <c r="J46" i="111"/>
  <c r="I46" i="111"/>
  <c r="H46" i="111"/>
  <c r="F46" i="111"/>
  <c r="E46" i="111"/>
  <c r="V45" i="111"/>
  <c r="Q45" i="111"/>
  <c r="K45" i="111"/>
  <c r="V43" i="111"/>
  <c r="Q43" i="111"/>
  <c r="K43" i="111"/>
  <c r="R43" i="111" s="1"/>
  <c r="V42" i="111"/>
  <c r="Q42" i="111"/>
  <c r="K42" i="111"/>
  <c r="R42" i="111" s="1"/>
  <c r="U41" i="111"/>
  <c r="T41" i="111"/>
  <c r="P41" i="111"/>
  <c r="K41" i="111"/>
  <c r="V40" i="111"/>
  <c r="Q40" i="111"/>
  <c r="R40" i="111" s="1"/>
  <c r="K40" i="111"/>
  <c r="U39" i="111"/>
  <c r="T39" i="111"/>
  <c r="V39" i="111" s="1"/>
  <c r="P39" i="111"/>
  <c r="Q39" i="111" s="1"/>
  <c r="K39" i="111"/>
  <c r="U38" i="111"/>
  <c r="T38" i="111"/>
  <c r="V38" i="111" s="1"/>
  <c r="P38" i="111"/>
  <c r="Q38" i="111" s="1"/>
  <c r="K38" i="111"/>
  <c r="V37" i="111"/>
  <c r="Q37" i="111"/>
  <c r="K37" i="111"/>
  <c r="U36" i="111"/>
  <c r="T36" i="111"/>
  <c r="P36" i="111"/>
  <c r="Q36" i="111" s="1"/>
  <c r="R36" i="111" s="1"/>
  <c r="K36" i="111"/>
  <c r="U35" i="111"/>
  <c r="T35" i="111"/>
  <c r="P35" i="111"/>
  <c r="Q35" i="111" s="1"/>
  <c r="K35" i="111"/>
  <c r="U34" i="111"/>
  <c r="T34" i="111"/>
  <c r="V34" i="111" s="1"/>
  <c r="P34" i="111"/>
  <c r="Q34" i="111" s="1"/>
  <c r="K34" i="111"/>
  <c r="V33" i="111"/>
  <c r="Q33" i="111"/>
  <c r="K33" i="111"/>
  <c r="U32" i="111"/>
  <c r="T32" i="111"/>
  <c r="P32" i="111"/>
  <c r="Q32" i="111" s="1"/>
  <c r="K32" i="111"/>
  <c r="U31" i="111"/>
  <c r="T31" i="111"/>
  <c r="P31" i="111"/>
  <c r="K31" i="111"/>
  <c r="S28" i="111"/>
  <c r="O28" i="111"/>
  <c r="N28" i="111"/>
  <c r="M28" i="111"/>
  <c r="L28" i="111"/>
  <c r="J28" i="111"/>
  <c r="I28" i="111"/>
  <c r="G28" i="111"/>
  <c r="E28" i="111"/>
  <c r="U27" i="111"/>
  <c r="T27" i="111"/>
  <c r="V27" i="111" s="1"/>
  <c r="P27" i="111"/>
  <c r="Q27" i="111" s="1"/>
  <c r="K27" i="111"/>
  <c r="U26" i="111"/>
  <c r="T26" i="111"/>
  <c r="P26" i="111"/>
  <c r="Q26" i="111" s="1"/>
  <c r="K26" i="111"/>
  <c r="U25" i="111"/>
  <c r="T25" i="111"/>
  <c r="V25" i="111" s="1"/>
  <c r="Q25" i="111"/>
  <c r="R25" i="111" s="1"/>
  <c r="P25" i="111"/>
  <c r="K25" i="111"/>
  <c r="U24" i="111"/>
  <c r="U28" i="111" s="1"/>
  <c r="T24" i="111"/>
  <c r="P24" i="111"/>
  <c r="K24" i="111"/>
  <c r="K28" i="111" s="1"/>
  <c r="S21" i="111"/>
  <c r="O21" i="111"/>
  <c r="N21" i="111"/>
  <c r="M21" i="111"/>
  <c r="L21" i="111"/>
  <c r="J21" i="111"/>
  <c r="I21" i="111"/>
  <c r="E21" i="111"/>
  <c r="U18" i="111"/>
  <c r="T18" i="111"/>
  <c r="P18" i="111"/>
  <c r="Q18" i="111" s="1"/>
  <c r="K18" i="111"/>
  <c r="U17" i="111"/>
  <c r="T17" i="111"/>
  <c r="P17" i="111"/>
  <c r="Q17" i="111" s="1"/>
  <c r="R17" i="111" s="1"/>
  <c r="K17" i="111"/>
  <c r="U16" i="111"/>
  <c r="T16" i="111"/>
  <c r="P16" i="111"/>
  <c r="Q16" i="111" s="1"/>
  <c r="K16" i="111"/>
  <c r="V15" i="111"/>
  <c r="Q15" i="111"/>
  <c r="K15" i="111"/>
  <c r="U14" i="111"/>
  <c r="T14" i="111"/>
  <c r="V14" i="111" s="1"/>
  <c r="P14" i="111"/>
  <c r="Q14" i="111" s="1"/>
  <c r="R14" i="111" s="1"/>
  <c r="K14" i="111"/>
  <c r="Q13" i="111"/>
  <c r="K13" i="111"/>
  <c r="U12" i="111"/>
  <c r="T12" i="111"/>
  <c r="P12" i="111"/>
  <c r="K12" i="111"/>
  <c r="S9" i="111"/>
  <c r="O9" i="111"/>
  <c r="N9" i="111"/>
  <c r="M9" i="111"/>
  <c r="L9" i="111"/>
  <c r="J9" i="111"/>
  <c r="I9" i="111"/>
  <c r="G9" i="111"/>
  <c r="E9" i="111"/>
  <c r="U8" i="111"/>
  <c r="T8" i="111"/>
  <c r="P8" i="111"/>
  <c r="Q8" i="111" s="1"/>
  <c r="K8" i="111"/>
  <c r="U7" i="111"/>
  <c r="T7" i="111"/>
  <c r="P7" i="111"/>
  <c r="K7" i="111"/>
  <c r="K9" i="111" s="1"/>
  <c r="Q51" i="111" l="1"/>
  <c r="P55" i="111"/>
  <c r="V7" i="111"/>
  <c r="V8" i="111"/>
  <c r="I62" i="111"/>
  <c r="Q12" i="111"/>
  <c r="P21" i="111"/>
  <c r="R13" i="111"/>
  <c r="V32" i="111"/>
  <c r="V36" i="111"/>
  <c r="R50" i="111"/>
  <c r="Q7" i="111"/>
  <c r="R7" i="111" s="1"/>
  <c r="R9" i="111" s="1"/>
  <c r="P9" i="111"/>
  <c r="M62" i="111"/>
  <c r="Q31" i="111"/>
  <c r="R31" i="111" s="1"/>
  <c r="P46" i="111"/>
  <c r="P62" i="111" s="1"/>
  <c r="K55" i="111"/>
  <c r="R52" i="111"/>
  <c r="U9" i="111"/>
  <c r="Q24" i="111"/>
  <c r="Q28" i="111" s="1"/>
  <c r="P28" i="111"/>
  <c r="V31" i="111"/>
  <c r="V41" i="111"/>
  <c r="R54" i="111"/>
  <c r="R18" i="111"/>
  <c r="R51" i="111"/>
  <c r="Q55" i="111"/>
  <c r="R12" i="111"/>
  <c r="R32" i="111"/>
  <c r="N62" i="111"/>
  <c r="R45" i="111"/>
  <c r="K46" i="111"/>
  <c r="T28" i="111"/>
  <c r="V13" i="111"/>
  <c r="V17" i="111"/>
  <c r="V18" i="111"/>
  <c r="V35" i="111"/>
  <c r="E62" i="111"/>
  <c r="V16" i="111"/>
  <c r="T21" i="111"/>
  <c r="Q21" i="111"/>
  <c r="U21" i="111"/>
  <c r="L62" i="111"/>
  <c r="J62" i="111"/>
  <c r="G62" i="111"/>
  <c r="O62" i="111"/>
  <c r="S62" i="111"/>
  <c r="T46" i="111"/>
  <c r="R8" i="111"/>
  <c r="R15" i="111"/>
  <c r="R16" i="111"/>
  <c r="R24" i="111"/>
  <c r="R28" i="111" s="1"/>
  <c r="R37" i="111"/>
  <c r="R38" i="111"/>
  <c r="R39" i="111"/>
  <c r="R41" i="111"/>
  <c r="Q9" i="111"/>
  <c r="R26" i="111"/>
  <c r="R27" i="111"/>
  <c r="V46" i="111"/>
  <c r="R33" i="111"/>
  <c r="R34" i="111"/>
  <c r="R35" i="111"/>
  <c r="V55" i="111"/>
  <c r="V12" i="111"/>
  <c r="K21" i="111"/>
  <c r="V26" i="111"/>
  <c r="R58" i="111"/>
  <c r="R59" i="111" s="1"/>
  <c r="U46" i="111"/>
  <c r="T59" i="111"/>
  <c r="T9" i="111"/>
  <c r="V24" i="111"/>
  <c r="V28" i="111" s="1"/>
  <c r="R49" i="111"/>
  <c r="R55" i="111" s="1"/>
  <c r="U9" i="110"/>
  <c r="Y75" i="110"/>
  <c r="V9" i="111" l="1"/>
  <c r="Q46" i="111"/>
  <c r="Q62" i="111" s="1"/>
  <c r="R21" i="111"/>
  <c r="R46" i="111"/>
  <c r="K62" i="111"/>
  <c r="V21" i="111"/>
  <c r="V62" i="111" s="1"/>
  <c r="U62" i="111"/>
  <c r="T62" i="111"/>
  <c r="P37" i="110"/>
  <c r="G20" i="109"/>
  <c r="G21" i="110"/>
  <c r="U58" i="110"/>
  <c r="Q57" i="110"/>
  <c r="S21" i="110"/>
  <c r="K20" i="110"/>
  <c r="R62" i="111" l="1"/>
  <c r="U19" i="110"/>
  <c r="T19" i="110"/>
  <c r="V19" i="110" s="1"/>
  <c r="P19" i="110"/>
  <c r="Q19" i="110" s="1"/>
  <c r="R19" i="110" s="1"/>
  <c r="K19" i="110"/>
  <c r="T58" i="110"/>
  <c r="S58" i="110"/>
  <c r="Q58" i="110"/>
  <c r="O58" i="110"/>
  <c r="N58" i="110"/>
  <c r="M58" i="110"/>
  <c r="L58" i="110"/>
  <c r="J58" i="110"/>
  <c r="I58" i="110"/>
  <c r="G58" i="110"/>
  <c r="E58" i="110"/>
  <c r="V57" i="110"/>
  <c r="V58" i="110" s="1"/>
  <c r="P58" i="110"/>
  <c r="K57" i="110"/>
  <c r="S54" i="110"/>
  <c r="O54" i="110"/>
  <c r="N54" i="110"/>
  <c r="M54" i="110"/>
  <c r="L54" i="110"/>
  <c r="J54" i="110"/>
  <c r="I54" i="110"/>
  <c r="H54" i="110"/>
  <c r="G54" i="110"/>
  <c r="E54" i="110"/>
  <c r="V53" i="110"/>
  <c r="Q53" i="110"/>
  <c r="K53" i="110"/>
  <c r="V52" i="110"/>
  <c r="Q52" i="110"/>
  <c r="K52" i="110"/>
  <c r="V51" i="110"/>
  <c r="Q51" i="110"/>
  <c r="K51" i="110"/>
  <c r="U50" i="110"/>
  <c r="U54" i="110" s="1"/>
  <c r="T50" i="110"/>
  <c r="V50" i="110" s="1"/>
  <c r="P50" i="110"/>
  <c r="Q50" i="110" s="1"/>
  <c r="K50" i="110"/>
  <c r="V49" i="110"/>
  <c r="P49" i="110"/>
  <c r="Q49" i="110" s="1"/>
  <c r="K49" i="110"/>
  <c r="V48" i="110"/>
  <c r="P48" i="110"/>
  <c r="K48" i="110"/>
  <c r="S45" i="110"/>
  <c r="O45" i="110"/>
  <c r="N45" i="110"/>
  <c r="M45" i="110"/>
  <c r="L45" i="110"/>
  <c r="J45" i="110"/>
  <c r="I45" i="110"/>
  <c r="H45" i="110"/>
  <c r="G45" i="110"/>
  <c r="E45" i="110"/>
  <c r="V44" i="110"/>
  <c r="Q44" i="110"/>
  <c r="K44" i="110"/>
  <c r="V43" i="110"/>
  <c r="Q43" i="110"/>
  <c r="K43" i="110"/>
  <c r="V42" i="110"/>
  <c r="Q42" i="110"/>
  <c r="K42" i="110"/>
  <c r="V41" i="110"/>
  <c r="P41" i="110"/>
  <c r="Q41" i="110" s="1"/>
  <c r="K41" i="110"/>
  <c r="V40" i="110"/>
  <c r="P40" i="110"/>
  <c r="Q40" i="110" s="1"/>
  <c r="K40" i="110"/>
  <c r="U39" i="110"/>
  <c r="T39" i="110"/>
  <c r="P39" i="110"/>
  <c r="Q39" i="110" s="1"/>
  <c r="K39" i="110"/>
  <c r="U38" i="110"/>
  <c r="T38" i="110"/>
  <c r="P38" i="110"/>
  <c r="Q38" i="110" s="1"/>
  <c r="K38" i="110"/>
  <c r="Q37" i="110"/>
  <c r="K37" i="110"/>
  <c r="U36" i="110"/>
  <c r="T36" i="110"/>
  <c r="P36" i="110"/>
  <c r="Q36" i="110" s="1"/>
  <c r="R36" i="110" s="1"/>
  <c r="K36" i="110"/>
  <c r="U35" i="110"/>
  <c r="T35" i="110"/>
  <c r="P35" i="110"/>
  <c r="Q35" i="110" s="1"/>
  <c r="K35" i="110"/>
  <c r="U34" i="110"/>
  <c r="T34" i="110"/>
  <c r="V34" i="110" s="1"/>
  <c r="P34" i="110"/>
  <c r="Q34" i="110" s="1"/>
  <c r="K34" i="110"/>
  <c r="P33" i="110"/>
  <c r="Q33" i="110" s="1"/>
  <c r="K33" i="110"/>
  <c r="U32" i="110"/>
  <c r="T32" i="110"/>
  <c r="P32" i="110"/>
  <c r="Q32" i="110" s="1"/>
  <c r="R32" i="110" s="1"/>
  <c r="K32" i="110"/>
  <c r="U31" i="110"/>
  <c r="T31" i="110"/>
  <c r="P31" i="110"/>
  <c r="K31" i="110"/>
  <c r="S28" i="110"/>
  <c r="O28" i="110"/>
  <c r="N28" i="110"/>
  <c r="M28" i="110"/>
  <c r="L28" i="110"/>
  <c r="J28" i="110"/>
  <c r="I28" i="110"/>
  <c r="G28" i="110"/>
  <c r="E28" i="110"/>
  <c r="U27" i="110"/>
  <c r="T27" i="110"/>
  <c r="P27" i="110"/>
  <c r="Q27" i="110" s="1"/>
  <c r="K27" i="110"/>
  <c r="U26" i="110"/>
  <c r="T26" i="110"/>
  <c r="P26" i="110"/>
  <c r="Q26" i="110" s="1"/>
  <c r="K26" i="110"/>
  <c r="U25" i="110"/>
  <c r="T25" i="110"/>
  <c r="V25" i="110" s="1"/>
  <c r="P25" i="110"/>
  <c r="Q25" i="110" s="1"/>
  <c r="R25" i="110" s="1"/>
  <c r="K25" i="110"/>
  <c r="U24" i="110"/>
  <c r="U28" i="110" s="1"/>
  <c r="T24" i="110"/>
  <c r="P24" i="110"/>
  <c r="K24" i="110"/>
  <c r="O21" i="110"/>
  <c r="N21" i="110"/>
  <c r="M21" i="110"/>
  <c r="L21" i="110"/>
  <c r="J21" i="110"/>
  <c r="I21" i="110"/>
  <c r="E21" i="110"/>
  <c r="Q20" i="110"/>
  <c r="R20" i="110" s="1"/>
  <c r="U18" i="110"/>
  <c r="T18" i="110"/>
  <c r="P18" i="110"/>
  <c r="Q18" i="110" s="1"/>
  <c r="K18" i="110"/>
  <c r="U17" i="110"/>
  <c r="T17" i="110"/>
  <c r="P17" i="110"/>
  <c r="Q17" i="110" s="1"/>
  <c r="K17" i="110"/>
  <c r="U16" i="110"/>
  <c r="T16" i="110"/>
  <c r="P16" i="110"/>
  <c r="Q16" i="110" s="1"/>
  <c r="K16" i="110"/>
  <c r="U15" i="110"/>
  <c r="T15" i="110"/>
  <c r="P15" i="110"/>
  <c r="K15" i="110"/>
  <c r="P14" i="110"/>
  <c r="Q14" i="110" s="1"/>
  <c r="K14" i="110"/>
  <c r="U13" i="110"/>
  <c r="T13" i="110"/>
  <c r="V13" i="110" s="1"/>
  <c r="P13" i="110"/>
  <c r="K13" i="110"/>
  <c r="U12" i="110"/>
  <c r="Q12" i="110"/>
  <c r="K12" i="110"/>
  <c r="K21" i="110" s="1"/>
  <c r="S9" i="110"/>
  <c r="O9" i="110"/>
  <c r="N9" i="110"/>
  <c r="M9" i="110"/>
  <c r="L9" i="110"/>
  <c r="J9" i="110"/>
  <c r="I9" i="110"/>
  <c r="G9" i="110"/>
  <c r="E9" i="110"/>
  <c r="P8" i="110"/>
  <c r="K8" i="110"/>
  <c r="K9" i="110" s="1"/>
  <c r="V7" i="110"/>
  <c r="T9" i="110"/>
  <c r="Q7" i="110"/>
  <c r="R7" i="110" s="1"/>
  <c r="Q48" i="110" l="1"/>
  <c r="R48" i="110" s="1"/>
  <c r="P54" i="110"/>
  <c r="R16" i="110"/>
  <c r="R17" i="110"/>
  <c r="Q24" i="110"/>
  <c r="P28" i="110"/>
  <c r="Q31" i="110"/>
  <c r="Q45" i="110" s="1"/>
  <c r="P45" i="110"/>
  <c r="R53" i="110"/>
  <c r="V17" i="110"/>
  <c r="U45" i="110"/>
  <c r="V32" i="110"/>
  <c r="V38" i="110"/>
  <c r="R51" i="110"/>
  <c r="R44" i="110"/>
  <c r="R27" i="110"/>
  <c r="U21" i="110"/>
  <c r="M61" i="110"/>
  <c r="R14" i="110"/>
  <c r="Q13" i="110"/>
  <c r="R13" i="110" s="1"/>
  <c r="P21" i="110"/>
  <c r="Q8" i="110"/>
  <c r="R8" i="110" s="1"/>
  <c r="R9" i="110" s="1"/>
  <c r="P9" i="110"/>
  <c r="V14" i="110"/>
  <c r="V33" i="110"/>
  <c r="V54" i="110"/>
  <c r="V37" i="110"/>
  <c r="K58" i="110"/>
  <c r="R57" i="110"/>
  <c r="R58" i="110" s="1"/>
  <c r="L61" i="110"/>
  <c r="S61" i="110"/>
  <c r="R26" i="110"/>
  <c r="V36" i="110"/>
  <c r="V8" i="110"/>
  <c r="K28" i="110"/>
  <c r="R38" i="110"/>
  <c r="R39" i="110"/>
  <c r="R43" i="110"/>
  <c r="J61" i="110"/>
  <c r="R41" i="110"/>
  <c r="R42" i="110"/>
  <c r="R52" i="110"/>
  <c r="V31" i="110"/>
  <c r="R33" i="110"/>
  <c r="V39" i="110"/>
  <c r="V26" i="110"/>
  <c r="T28" i="110"/>
  <c r="V35" i="110"/>
  <c r="G61" i="110"/>
  <c r="E61" i="110"/>
  <c r="V16" i="110"/>
  <c r="R18" i="110"/>
  <c r="T21" i="110"/>
  <c r="V18" i="110"/>
  <c r="V20" i="110"/>
  <c r="I61" i="110"/>
  <c r="O61" i="110"/>
  <c r="N61" i="110"/>
  <c r="T45" i="110"/>
  <c r="R37" i="110"/>
  <c r="K54" i="110"/>
  <c r="R40" i="110"/>
  <c r="K45" i="110"/>
  <c r="V9" i="110"/>
  <c r="Q54" i="110"/>
  <c r="R49" i="110"/>
  <c r="R54" i="110" s="1"/>
  <c r="R50" i="110"/>
  <c r="R15" i="110"/>
  <c r="Q28" i="110"/>
  <c r="R24" i="110"/>
  <c r="R34" i="110"/>
  <c r="R35" i="110"/>
  <c r="T54" i="110"/>
  <c r="Q9" i="110"/>
  <c r="R12" i="110"/>
  <c r="V15" i="110"/>
  <c r="V27" i="110"/>
  <c r="V12" i="110"/>
  <c r="V24" i="110"/>
  <c r="S57" i="109"/>
  <c r="O57" i="109"/>
  <c r="N57" i="109"/>
  <c r="M57" i="109"/>
  <c r="L57" i="109"/>
  <c r="J57" i="109"/>
  <c r="I57" i="109"/>
  <c r="G57" i="109"/>
  <c r="E57" i="109"/>
  <c r="U57" i="109"/>
  <c r="V56" i="109"/>
  <c r="V57" i="109" s="1"/>
  <c r="P56" i="109"/>
  <c r="Q57" i="109" s="1"/>
  <c r="K56" i="109"/>
  <c r="K57" i="109" s="1"/>
  <c r="S53" i="109"/>
  <c r="O53" i="109"/>
  <c r="N53" i="109"/>
  <c r="M53" i="109"/>
  <c r="L53" i="109"/>
  <c r="J53" i="109"/>
  <c r="I53" i="109"/>
  <c r="H53" i="109"/>
  <c r="G53" i="109"/>
  <c r="E53" i="109"/>
  <c r="V52" i="109"/>
  <c r="Q52" i="109"/>
  <c r="K52" i="109"/>
  <c r="V51" i="109"/>
  <c r="Q51" i="109"/>
  <c r="K51" i="109"/>
  <c r="V50" i="109"/>
  <c r="Q50" i="109"/>
  <c r="K50" i="109"/>
  <c r="U49" i="109"/>
  <c r="T49" i="109"/>
  <c r="P49" i="109"/>
  <c r="Q49" i="109" s="1"/>
  <c r="K49" i="109"/>
  <c r="U48" i="109"/>
  <c r="T48" i="109"/>
  <c r="P48" i="109"/>
  <c r="K48" i="109"/>
  <c r="U47" i="109"/>
  <c r="T47" i="109"/>
  <c r="T53" i="109" s="1"/>
  <c r="Q47" i="109"/>
  <c r="P47" i="109"/>
  <c r="K47" i="109"/>
  <c r="S44" i="109"/>
  <c r="O44" i="109"/>
  <c r="N44" i="109"/>
  <c r="M44" i="109"/>
  <c r="L44" i="109"/>
  <c r="J44" i="109"/>
  <c r="I44" i="109"/>
  <c r="H44" i="109"/>
  <c r="G44" i="109"/>
  <c r="E44" i="109"/>
  <c r="V43" i="109"/>
  <c r="Q43" i="109"/>
  <c r="K43" i="109"/>
  <c r="V42" i="109"/>
  <c r="Q42" i="109"/>
  <c r="K42" i="109"/>
  <c r="V41" i="109"/>
  <c r="Q41" i="109"/>
  <c r="K41" i="109"/>
  <c r="U40" i="109"/>
  <c r="T40" i="109"/>
  <c r="P40" i="109"/>
  <c r="Q40" i="109" s="1"/>
  <c r="K40" i="109"/>
  <c r="U39" i="109"/>
  <c r="T39" i="109"/>
  <c r="Q39" i="109"/>
  <c r="P39" i="109"/>
  <c r="K39" i="109"/>
  <c r="U38" i="109"/>
  <c r="T38" i="109"/>
  <c r="V38" i="109" s="1"/>
  <c r="P38" i="109"/>
  <c r="Q38" i="109" s="1"/>
  <c r="K38" i="109"/>
  <c r="U37" i="109"/>
  <c r="T37" i="109"/>
  <c r="P37" i="109"/>
  <c r="Q37" i="109" s="1"/>
  <c r="K37" i="109"/>
  <c r="U36" i="109"/>
  <c r="T36" i="109"/>
  <c r="P36" i="109"/>
  <c r="Q36" i="109" s="1"/>
  <c r="K36" i="109"/>
  <c r="U35" i="109"/>
  <c r="T35" i="109"/>
  <c r="V35" i="109" s="1"/>
  <c r="P35" i="109"/>
  <c r="Q35" i="109" s="1"/>
  <c r="K35" i="109"/>
  <c r="U34" i="109"/>
  <c r="T34" i="109"/>
  <c r="V34" i="109" s="1"/>
  <c r="P34" i="109"/>
  <c r="Q34" i="109" s="1"/>
  <c r="K34" i="109"/>
  <c r="U33" i="109"/>
  <c r="T33" i="109"/>
  <c r="V33" i="109" s="1"/>
  <c r="P33" i="109"/>
  <c r="Q33" i="109" s="1"/>
  <c r="K33" i="109"/>
  <c r="U32" i="109"/>
  <c r="T32" i="109"/>
  <c r="P32" i="109"/>
  <c r="Q32" i="109" s="1"/>
  <c r="K32" i="109"/>
  <c r="U31" i="109"/>
  <c r="T31" i="109"/>
  <c r="P31" i="109"/>
  <c r="Q31" i="109" s="1"/>
  <c r="K31" i="109"/>
  <c r="U30" i="109"/>
  <c r="T30" i="109"/>
  <c r="V30" i="109" s="1"/>
  <c r="Q30" i="109"/>
  <c r="P30" i="109"/>
  <c r="K30" i="109"/>
  <c r="S27" i="109"/>
  <c r="O27" i="109"/>
  <c r="N27" i="109"/>
  <c r="M27" i="109"/>
  <c r="L27" i="109"/>
  <c r="J27" i="109"/>
  <c r="I27" i="109"/>
  <c r="G27" i="109"/>
  <c r="E27" i="109"/>
  <c r="V26" i="109"/>
  <c r="U26" i="109"/>
  <c r="T26" i="109"/>
  <c r="P26" i="109"/>
  <c r="Q26" i="109" s="1"/>
  <c r="K26" i="109"/>
  <c r="U25" i="109"/>
  <c r="T25" i="109"/>
  <c r="P25" i="109"/>
  <c r="Q25" i="109" s="1"/>
  <c r="K25" i="109"/>
  <c r="U24" i="109"/>
  <c r="T24" i="109"/>
  <c r="P24" i="109"/>
  <c r="Q24" i="109" s="1"/>
  <c r="K24" i="109"/>
  <c r="U23" i="109"/>
  <c r="T23" i="109"/>
  <c r="P23" i="109"/>
  <c r="P27" i="109" s="1"/>
  <c r="K23" i="109"/>
  <c r="S20" i="109"/>
  <c r="O20" i="109"/>
  <c r="N20" i="109"/>
  <c r="M20" i="109"/>
  <c r="L20" i="109"/>
  <c r="J20" i="109"/>
  <c r="I20" i="109"/>
  <c r="E20" i="109"/>
  <c r="U19" i="109"/>
  <c r="T19" i="109"/>
  <c r="V19" i="109" s="1"/>
  <c r="Q19" i="109"/>
  <c r="P19" i="109"/>
  <c r="K19" i="109"/>
  <c r="U18" i="109"/>
  <c r="T18" i="109"/>
  <c r="V18" i="109" s="1"/>
  <c r="P18" i="109"/>
  <c r="Q18" i="109" s="1"/>
  <c r="K18" i="109"/>
  <c r="U17" i="109"/>
  <c r="T17" i="109"/>
  <c r="V17" i="109" s="1"/>
  <c r="P17" i="109"/>
  <c r="Q17" i="109" s="1"/>
  <c r="K17" i="109"/>
  <c r="U16" i="109"/>
  <c r="T16" i="109"/>
  <c r="V16" i="109" s="1"/>
  <c r="P16" i="109"/>
  <c r="Q16" i="109" s="1"/>
  <c r="K16" i="109"/>
  <c r="U15" i="109"/>
  <c r="V15" i="109" s="1"/>
  <c r="T15" i="109"/>
  <c r="P15" i="109"/>
  <c r="Q15" i="109" s="1"/>
  <c r="K15" i="109"/>
  <c r="U14" i="109"/>
  <c r="T14" i="109"/>
  <c r="P14" i="109"/>
  <c r="Q14" i="109" s="1"/>
  <c r="K14" i="109"/>
  <c r="U13" i="109"/>
  <c r="T13" i="109"/>
  <c r="P13" i="109"/>
  <c r="Q13" i="109" s="1"/>
  <c r="K13" i="109"/>
  <c r="U12" i="109"/>
  <c r="T12" i="109"/>
  <c r="K12" i="109"/>
  <c r="S9" i="109"/>
  <c r="O9" i="109"/>
  <c r="N9" i="109"/>
  <c r="M9" i="109"/>
  <c r="L9" i="109"/>
  <c r="J9" i="109"/>
  <c r="I9" i="109"/>
  <c r="G9" i="109"/>
  <c r="E9" i="109"/>
  <c r="U8" i="109"/>
  <c r="T8" i="109"/>
  <c r="V8" i="109" s="1"/>
  <c r="P8" i="109"/>
  <c r="Q8" i="109" s="1"/>
  <c r="K8" i="109"/>
  <c r="U7" i="109"/>
  <c r="U9" i="109" s="1"/>
  <c r="T7" i="109"/>
  <c r="P7" i="109"/>
  <c r="P9" i="109" s="1"/>
  <c r="K7" i="109"/>
  <c r="F41" i="108"/>
  <c r="E41" i="108"/>
  <c r="G40" i="108"/>
  <c r="H40" i="108" s="1"/>
  <c r="G39" i="108"/>
  <c r="H39" i="108" s="1"/>
  <c r="F36" i="108"/>
  <c r="E36" i="108"/>
  <c r="H35" i="108"/>
  <c r="G35" i="108"/>
  <c r="G34" i="108"/>
  <c r="H34" i="108" s="1"/>
  <c r="G33" i="108"/>
  <c r="H33" i="108" s="1"/>
  <c r="G32" i="108"/>
  <c r="H32" i="108" s="1"/>
  <c r="G31" i="108"/>
  <c r="H31" i="108" s="1"/>
  <c r="G30" i="108"/>
  <c r="H30" i="108" s="1"/>
  <c r="G29" i="108"/>
  <c r="H29" i="108" s="1"/>
  <c r="G28" i="108"/>
  <c r="H28" i="108" s="1"/>
  <c r="G27" i="108"/>
  <c r="H27" i="108" s="1"/>
  <c r="G26" i="108"/>
  <c r="H26" i="108" s="1"/>
  <c r="F23" i="108"/>
  <c r="E23" i="108"/>
  <c r="G22" i="108"/>
  <c r="H22" i="108" s="1"/>
  <c r="G21" i="108"/>
  <c r="H21" i="108" s="1"/>
  <c r="G20" i="108"/>
  <c r="H20" i="108" s="1"/>
  <c r="G19" i="108"/>
  <c r="H19" i="108" s="1"/>
  <c r="F16" i="108"/>
  <c r="E16" i="108"/>
  <c r="G15" i="108"/>
  <c r="H15" i="108" s="1"/>
  <c r="G14" i="108"/>
  <c r="H14" i="108" s="1"/>
  <c r="G13" i="108"/>
  <c r="H13" i="108" s="1"/>
  <c r="G12" i="108"/>
  <c r="H12" i="108" s="1"/>
  <c r="G11" i="108"/>
  <c r="F8" i="108"/>
  <c r="E8" i="108"/>
  <c r="G7" i="108"/>
  <c r="G8" i="108" s="1"/>
  <c r="R28" i="110" l="1"/>
  <c r="T20" i="109"/>
  <c r="R30" i="109"/>
  <c r="V36" i="109"/>
  <c r="R43" i="109"/>
  <c r="R52" i="109"/>
  <c r="R31" i="110"/>
  <c r="R45" i="110" s="1"/>
  <c r="K20" i="109"/>
  <c r="R34" i="109"/>
  <c r="V45" i="110"/>
  <c r="J60" i="109"/>
  <c r="R16" i="109"/>
  <c r="V37" i="109"/>
  <c r="R51" i="109"/>
  <c r="T61" i="110"/>
  <c r="P61" i="110"/>
  <c r="U61" i="110"/>
  <c r="R21" i="110"/>
  <c r="Q21" i="110"/>
  <c r="K61" i="110"/>
  <c r="V28" i="110"/>
  <c r="Q61" i="110"/>
  <c r="V21" i="110"/>
  <c r="V61" i="110" s="1"/>
  <c r="R13" i="109"/>
  <c r="R24" i="109"/>
  <c r="U27" i="109"/>
  <c r="T44" i="109"/>
  <c r="R37" i="109"/>
  <c r="R38" i="109"/>
  <c r="R39" i="109"/>
  <c r="R47" i="109"/>
  <c r="U53" i="109"/>
  <c r="R8" i="109"/>
  <c r="P20" i="109"/>
  <c r="R15" i="109"/>
  <c r="K27" i="109"/>
  <c r="T27" i="109"/>
  <c r="R25" i="109"/>
  <c r="R27" i="109" s="1"/>
  <c r="R26" i="109"/>
  <c r="P44" i="109"/>
  <c r="U44" i="109"/>
  <c r="V31" i="109"/>
  <c r="V44" i="109" s="1"/>
  <c r="V32" i="109"/>
  <c r="R42" i="109"/>
  <c r="R50" i="109"/>
  <c r="P53" i="109"/>
  <c r="T9" i="109"/>
  <c r="E60" i="109"/>
  <c r="L60" i="109"/>
  <c r="V13" i="109"/>
  <c r="V14" i="109"/>
  <c r="Q23" i="109"/>
  <c r="R23" i="109" s="1"/>
  <c r="V23" i="109"/>
  <c r="V24" i="109"/>
  <c r="V27" i="109" s="1"/>
  <c r="V25" i="109"/>
  <c r="R31" i="109"/>
  <c r="R32" i="109"/>
  <c r="R33" i="109"/>
  <c r="V39" i="109"/>
  <c r="V40" i="109"/>
  <c r="V48" i="109"/>
  <c r="V49" i="109"/>
  <c r="R41" i="109"/>
  <c r="R17" i="109"/>
  <c r="I60" i="109"/>
  <c r="M60" i="109"/>
  <c r="S60" i="109"/>
  <c r="O60" i="109"/>
  <c r="N60" i="109"/>
  <c r="V12" i="109"/>
  <c r="Q12" i="109"/>
  <c r="R12" i="109" s="1"/>
  <c r="U20" i="109"/>
  <c r="G60" i="109"/>
  <c r="R19" i="109"/>
  <c r="G41" i="108"/>
  <c r="G36" i="108"/>
  <c r="G23" i="108"/>
  <c r="G16" i="108"/>
  <c r="G44" i="108" s="1"/>
  <c r="H11" i="108"/>
  <c r="H16" i="108" s="1"/>
  <c r="F44" i="108"/>
  <c r="H7" i="108"/>
  <c r="H8" i="108" s="1"/>
  <c r="R18" i="109"/>
  <c r="Q44" i="109"/>
  <c r="R40" i="109"/>
  <c r="R49" i="109"/>
  <c r="R14" i="109"/>
  <c r="R35" i="109"/>
  <c r="R36" i="109"/>
  <c r="Q7" i="109"/>
  <c r="Q9" i="109" s="1"/>
  <c r="V7" i="109"/>
  <c r="V9" i="109" s="1"/>
  <c r="K9" i="109"/>
  <c r="Q48" i="109"/>
  <c r="Q53" i="109" s="1"/>
  <c r="R57" i="109"/>
  <c r="K44" i="109"/>
  <c r="V47" i="109"/>
  <c r="K53" i="109"/>
  <c r="P57" i="109"/>
  <c r="T57" i="109"/>
  <c r="H41" i="108"/>
  <c r="H23" i="108"/>
  <c r="E44" i="108"/>
  <c r="H36" i="108"/>
  <c r="V50" i="107"/>
  <c r="Q50" i="107"/>
  <c r="K50" i="107"/>
  <c r="S57" i="107"/>
  <c r="O57" i="107"/>
  <c r="N57" i="107"/>
  <c r="M57" i="107"/>
  <c r="L57" i="107"/>
  <c r="J57" i="107"/>
  <c r="I57" i="107"/>
  <c r="G57" i="107"/>
  <c r="E57" i="107"/>
  <c r="U56" i="107"/>
  <c r="U57" i="107" s="1"/>
  <c r="T56" i="107"/>
  <c r="P56" i="107"/>
  <c r="Q56" i="107" s="1"/>
  <c r="Q57" i="107" s="1"/>
  <c r="K56" i="107"/>
  <c r="K57" i="107" s="1"/>
  <c r="S53" i="107"/>
  <c r="O53" i="107"/>
  <c r="N53" i="107"/>
  <c r="M53" i="107"/>
  <c r="L53" i="107"/>
  <c r="J53" i="107"/>
  <c r="I53" i="107"/>
  <c r="H53" i="107"/>
  <c r="G53" i="107"/>
  <c r="E53" i="107"/>
  <c r="V52" i="107"/>
  <c r="Q52" i="107"/>
  <c r="K52" i="107"/>
  <c r="V51" i="107"/>
  <c r="Q51" i="107"/>
  <c r="K51" i="107"/>
  <c r="U49" i="107"/>
  <c r="T49" i="107"/>
  <c r="P49" i="107"/>
  <c r="Q49" i="107" s="1"/>
  <c r="K49" i="107"/>
  <c r="U48" i="107"/>
  <c r="V48" i="107" s="1"/>
  <c r="T48" i="107"/>
  <c r="P48" i="107"/>
  <c r="Q48" i="107" s="1"/>
  <c r="K48" i="107"/>
  <c r="U47" i="107"/>
  <c r="T47" i="107"/>
  <c r="P47" i="107"/>
  <c r="K47" i="107"/>
  <c r="S44" i="107"/>
  <c r="O44" i="107"/>
  <c r="N44" i="107"/>
  <c r="M44" i="107"/>
  <c r="L44" i="107"/>
  <c r="J44" i="107"/>
  <c r="I44" i="107"/>
  <c r="H44" i="107"/>
  <c r="G44" i="107"/>
  <c r="F44" i="107"/>
  <c r="E44" i="107"/>
  <c r="V43" i="107"/>
  <c r="Q43" i="107"/>
  <c r="K43" i="107"/>
  <c r="V42" i="107"/>
  <c r="Q42" i="107"/>
  <c r="K42" i="107"/>
  <c r="V41" i="107"/>
  <c r="Q41" i="107"/>
  <c r="K41" i="107"/>
  <c r="R41" i="107" s="1"/>
  <c r="U40" i="107"/>
  <c r="T40" i="107"/>
  <c r="P40" i="107"/>
  <c r="Q40" i="107" s="1"/>
  <c r="R40" i="107" s="1"/>
  <c r="K40" i="107"/>
  <c r="U39" i="107"/>
  <c r="T39" i="107"/>
  <c r="P39" i="107"/>
  <c r="Q39" i="107" s="1"/>
  <c r="K39" i="107"/>
  <c r="U38" i="107"/>
  <c r="T38" i="107"/>
  <c r="V38" i="107" s="1"/>
  <c r="P38" i="107"/>
  <c r="Q38" i="107" s="1"/>
  <c r="K38" i="107"/>
  <c r="U37" i="107"/>
  <c r="T37" i="107"/>
  <c r="V37" i="107" s="1"/>
  <c r="P37" i="107"/>
  <c r="Q37" i="107" s="1"/>
  <c r="K37" i="107"/>
  <c r="U36" i="107"/>
  <c r="T36" i="107"/>
  <c r="V36" i="107" s="1"/>
  <c r="Q36" i="107"/>
  <c r="R36" i="107" s="1"/>
  <c r="P36" i="107"/>
  <c r="K36" i="107"/>
  <c r="U35" i="107"/>
  <c r="T35" i="107"/>
  <c r="P35" i="107"/>
  <c r="Q35" i="107" s="1"/>
  <c r="K35" i="107"/>
  <c r="U34" i="107"/>
  <c r="T34" i="107"/>
  <c r="V34" i="107" s="1"/>
  <c r="P34" i="107"/>
  <c r="Q34" i="107" s="1"/>
  <c r="K34" i="107"/>
  <c r="U33" i="107"/>
  <c r="T33" i="107"/>
  <c r="V33" i="107" s="1"/>
  <c r="P33" i="107"/>
  <c r="Q33" i="107" s="1"/>
  <c r="K33" i="107"/>
  <c r="U32" i="107"/>
  <c r="T32" i="107"/>
  <c r="V32" i="107" s="1"/>
  <c r="Q32" i="107"/>
  <c r="P32" i="107"/>
  <c r="K32" i="107"/>
  <c r="U31" i="107"/>
  <c r="T31" i="107"/>
  <c r="P31" i="107"/>
  <c r="K31" i="107"/>
  <c r="U30" i="107"/>
  <c r="U44" i="107" s="1"/>
  <c r="T30" i="107"/>
  <c r="P30" i="107"/>
  <c r="Q30" i="107" s="1"/>
  <c r="K30" i="107"/>
  <c r="S27" i="107"/>
  <c r="O27" i="107"/>
  <c r="N27" i="107"/>
  <c r="M27" i="107"/>
  <c r="L27" i="107"/>
  <c r="J27" i="107"/>
  <c r="I27" i="107"/>
  <c r="G27" i="107"/>
  <c r="E27" i="107"/>
  <c r="U26" i="107"/>
  <c r="T26" i="107"/>
  <c r="P26" i="107"/>
  <c r="Q26" i="107" s="1"/>
  <c r="K26" i="107"/>
  <c r="U25" i="107"/>
  <c r="T25" i="107"/>
  <c r="P25" i="107"/>
  <c r="Q25" i="107" s="1"/>
  <c r="K25" i="107"/>
  <c r="U24" i="107"/>
  <c r="V24" i="107" s="1"/>
  <c r="T24" i="107"/>
  <c r="P24" i="107"/>
  <c r="Q24" i="107" s="1"/>
  <c r="K24" i="107"/>
  <c r="U23" i="107"/>
  <c r="U27" i="107" s="1"/>
  <c r="T23" i="107"/>
  <c r="P23" i="107"/>
  <c r="K23" i="107"/>
  <c r="S20" i="107"/>
  <c r="O20" i="107"/>
  <c r="N20" i="107"/>
  <c r="M20" i="107"/>
  <c r="L20" i="107"/>
  <c r="J20" i="107"/>
  <c r="I20" i="107"/>
  <c r="G20" i="107"/>
  <c r="E20" i="107"/>
  <c r="U19" i="107"/>
  <c r="T19" i="107"/>
  <c r="V19" i="107" s="1"/>
  <c r="Q19" i="107"/>
  <c r="R19" i="107" s="1"/>
  <c r="P19" i="107"/>
  <c r="K19" i="107"/>
  <c r="U18" i="107"/>
  <c r="T18" i="107"/>
  <c r="P18" i="107"/>
  <c r="Q18" i="107" s="1"/>
  <c r="R18" i="107" s="1"/>
  <c r="K18" i="107"/>
  <c r="U17" i="107"/>
  <c r="T17" i="107"/>
  <c r="P17" i="107"/>
  <c r="Q17" i="107" s="1"/>
  <c r="K17" i="107"/>
  <c r="U16" i="107"/>
  <c r="T16" i="107"/>
  <c r="V16" i="107" s="1"/>
  <c r="P16" i="107"/>
  <c r="Q16" i="107" s="1"/>
  <c r="K16" i="107"/>
  <c r="U15" i="107"/>
  <c r="T15" i="107"/>
  <c r="V15" i="107" s="1"/>
  <c r="Q15" i="107"/>
  <c r="P15" i="107"/>
  <c r="K15" i="107"/>
  <c r="U14" i="107"/>
  <c r="V14" i="107" s="1"/>
  <c r="T14" i="107"/>
  <c r="P14" i="107"/>
  <c r="Q14" i="107" s="1"/>
  <c r="K14" i="107"/>
  <c r="U13" i="107"/>
  <c r="T13" i="107"/>
  <c r="P13" i="107"/>
  <c r="Q13" i="107" s="1"/>
  <c r="K13" i="107"/>
  <c r="R13" i="107" s="1"/>
  <c r="U12" i="107"/>
  <c r="T12" i="107"/>
  <c r="P12" i="107"/>
  <c r="Q12" i="107" s="1"/>
  <c r="K12" i="107"/>
  <c r="S9" i="107"/>
  <c r="O9" i="107"/>
  <c r="N9" i="107"/>
  <c r="M9" i="107"/>
  <c r="L9" i="107"/>
  <c r="J9" i="107"/>
  <c r="I9" i="107"/>
  <c r="G9" i="107"/>
  <c r="E9" i="107"/>
  <c r="U8" i="107"/>
  <c r="T8" i="107"/>
  <c r="P8" i="107"/>
  <c r="K8" i="107"/>
  <c r="K9" i="107" s="1"/>
  <c r="U7" i="107"/>
  <c r="T7" i="107"/>
  <c r="P7" i="107"/>
  <c r="Q7" i="107" s="1"/>
  <c r="K7" i="107"/>
  <c r="P9" i="107" l="1"/>
  <c r="V18" i="107"/>
  <c r="R26" i="107"/>
  <c r="V7" i="107"/>
  <c r="V9" i="107" s="1"/>
  <c r="R14" i="107"/>
  <c r="R16" i="107"/>
  <c r="R17" i="107"/>
  <c r="V25" i="107"/>
  <c r="R33" i="107"/>
  <c r="R34" i="107"/>
  <c r="V40" i="107"/>
  <c r="R43" i="107"/>
  <c r="T60" i="109"/>
  <c r="U60" i="109"/>
  <c r="R25" i="107"/>
  <c r="R48" i="107"/>
  <c r="J60" i="107"/>
  <c r="T20" i="107"/>
  <c r="R15" i="107"/>
  <c r="V30" i="107"/>
  <c r="R32" i="107"/>
  <c r="R38" i="107"/>
  <c r="V49" i="107"/>
  <c r="V56" i="107"/>
  <c r="V57" i="107" s="1"/>
  <c r="R61" i="110"/>
  <c r="R37" i="107"/>
  <c r="Q20" i="107"/>
  <c r="P57" i="107"/>
  <c r="P60" i="109"/>
  <c r="U9" i="107"/>
  <c r="Q8" i="107"/>
  <c r="R8" i="107" s="1"/>
  <c r="P27" i="107"/>
  <c r="V8" i="107"/>
  <c r="M60" i="107"/>
  <c r="S60" i="107"/>
  <c r="U20" i="107"/>
  <c r="V13" i="107"/>
  <c r="V17" i="107"/>
  <c r="T27" i="107"/>
  <c r="V26" i="107"/>
  <c r="P44" i="107"/>
  <c r="R42" i="107"/>
  <c r="U53" i="107"/>
  <c r="U60" i="107" s="1"/>
  <c r="V53" i="109"/>
  <c r="Q27" i="109"/>
  <c r="E60" i="107"/>
  <c r="V31" i="107"/>
  <c r="V35" i="107"/>
  <c r="V39" i="107"/>
  <c r="L60" i="107"/>
  <c r="K44" i="107"/>
  <c r="T53" i="107"/>
  <c r="R44" i="109"/>
  <c r="V20" i="109"/>
  <c r="V60" i="109" s="1"/>
  <c r="Q20" i="109"/>
  <c r="Q60" i="109" s="1"/>
  <c r="R48" i="109"/>
  <c r="R53" i="109" s="1"/>
  <c r="R20" i="109"/>
  <c r="K60" i="109"/>
  <c r="R7" i="109"/>
  <c r="R9" i="109" s="1"/>
  <c r="H44" i="108"/>
  <c r="R52" i="107"/>
  <c r="R49" i="107"/>
  <c r="R39" i="107"/>
  <c r="R35" i="107"/>
  <c r="O60" i="107"/>
  <c r="R50" i="107"/>
  <c r="R56" i="107"/>
  <c r="R57" i="107" s="1"/>
  <c r="R12" i="107"/>
  <c r="G60" i="107"/>
  <c r="N60" i="107"/>
  <c r="P53" i="107"/>
  <c r="K53" i="107"/>
  <c r="I60" i="107"/>
  <c r="R51" i="107"/>
  <c r="R24" i="107"/>
  <c r="T44" i="107"/>
  <c r="R7" i="107"/>
  <c r="T9" i="107"/>
  <c r="P20" i="107"/>
  <c r="Q31" i="107"/>
  <c r="R31" i="107" s="1"/>
  <c r="Q47" i="107"/>
  <c r="Q53" i="107" s="1"/>
  <c r="V47" i="107"/>
  <c r="V53" i="107" s="1"/>
  <c r="T57" i="107"/>
  <c r="V12" i="107"/>
  <c r="Q23" i="107"/>
  <c r="Q27" i="107" s="1"/>
  <c r="V23" i="107"/>
  <c r="V27" i="107" s="1"/>
  <c r="K20" i="107"/>
  <c r="K27" i="107"/>
  <c r="R30" i="107"/>
  <c r="S57" i="106"/>
  <c r="O57" i="106"/>
  <c r="N57" i="106"/>
  <c r="M57" i="106"/>
  <c r="L57" i="106"/>
  <c r="J57" i="106"/>
  <c r="I57" i="106"/>
  <c r="G57" i="106"/>
  <c r="E57" i="106"/>
  <c r="U56" i="106"/>
  <c r="U57" i="106" s="1"/>
  <c r="T56" i="106"/>
  <c r="T57" i="106" s="1"/>
  <c r="P56" i="106"/>
  <c r="P57" i="106" s="1"/>
  <c r="K56" i="106"/>
  <c r="K57" i="106" s="1"/>
  <c r="S53" i="106"/>
  <c r="O53" i="106"/>
  <c r="N53" i="106"/>
  <c r="M53" i="106"/>
  <c r="L53" i="106"/>
  <c r="J53" i="106"/>
  <c r="I53" i="106"/>
  <c r="H53" i="106"/>
  <c r="G53" i="106"/>
  <c r="E53" i="106"/>
  <c r="V52" i="106"/>
  <c r="Q52" i="106"/>
  <c r="K52" i="106"/>
  <c r="V51" i="106"/>
  <c r="Q51" i="106"/>
  <c r="K51" i="106"/>
  <c r="V50" i="106"/>
  <c r="Q50" i="106"/>
  <c r="K50" i="106"/>
  <c r="R50" i="106" s="1"/>
  <c r="U49" i="106"/>
  <c r="T49" i="106"/>
  <c r="P49" i="106"/>
  <c r="K49" i="106"/>
  <c r="U48" i="106"/>
  <c r="T48" i="106"/>
  <c r="P48" i="106"/>
  <c r="Q48" i="106" s="1"/>
  <c r="K48" i="106"/>
  <c r="U47" i="106"/>
  <c r="T47" i="106"/>
  <c r="P47" i="106"/>
  <c r="Q47" i="106" s="1"/>
  <c r="K47" i="106"/>
  <c r="S44" i="106"/>
  <c r="O44" i="106"/>
  <c r="N44" i="106"/>
  <c r="M44" i="106"/>
  <c r="L44" i="106"/>
  <c r="J44" i="106"/>
  <c r="I44" i="106"/>
  <c r="H44" i="106"/>
  <c r="G44" i="106"/>
  <c r="F44" i="106"/>
  <c r="E44" i="106"/>
  <c r="V43" i="106"/>
  <c r="Q43" i="106"/>
  <c r="K43" i="106"/>
  <c r="V42" i="106"/>
  <c r="Q42" i="106"/>
  <c r="K42" i="106"/>
  <c r="V41" i="106"/>
  <c r="Q41" i="106"/>
  <c r="K41" i="106"/>
  <c r="U40" i="106"/>
  <c r="T40" i="106"/>
  <c r="P40" i="106"/>
  <c r="Q40" i="106" s="1"/>
  <c r="K40" i="106"/>
  <c r="U39" i="106"/>
  <c r="T39" i="106"/>
  <c r="P39" i="106"/>
  <c r="Q39" i="106" s="1"/>
  <c r="K39" i="106"/>
  <c r="U38" i="106"/>
  <c r="T38" i="106"/>
  <c r="P38" i="106"/>
  <c r="Q38" i="106" s="1"/>
  <c r="K38" i="106"/>
  <c r="U37" i="106"/>
  <c r="T37" i="106"/>
  <c r="P37" i="106"/>
  <c r="Q37" i="106" s="1"/>
  <c r="K37" i="106"/>
  <c r="U36" i="106"/>
  <c r="T36" i="106"/>
  <c r="P36" i="106"/>
  <c r="Q36" i="106" s="1"/>
  <c r="R36" i="106" s="1"/>
  <c r="K36" i="106"/>
  <c r="U35" i="106"/>
  <c r="T35" i="106"/>
  <c r="P35" i="106"/>
  <c r="Q35" i="106" s="1"/>
  <c r="K35" i="106"/>
  <c r="U34" i="106"/>
  <c r="T34" i="106"/>
  <c r="V34" i="106" s="1"/>
  <c r="P34" i="106"/>
  <c r="Q34" i="106" s="1"/>
  <c r="K34" i="106"/>
  <c r="U33" i="106"/>
  <c r="T33" i="106"/>
  <c r="V33" i="106" s="1"/>
  <c r="P33" i="106"/>
  <c r="Q33" i="106" s="1"/>
  <c r="K33" i="106"/>
  <c r="U32" i="106"/>
  <c r="T32" i="106"/>
  <c r="P32" i="106"/>
  <c r="Q32" i="106" s="1"/>
  <c r="K32" i="106"/>
  <c r="U31" i="106"/>
  <c r="T31" i="106"/>
  <c r="P31" i="106"/>
  <c r="Q31" i="106" s="1"/>
  <c r="K31" i="106"/>
  <c r="U30" i="106"/>
  <c r="T30" i="106"/>
  <c r="P30" i="106"/>
  <c r="K30" i="106"/>
  <c r="S27" i="106"/>
  <c r="O27" i="106"/>
  <c r="N27" i="106"/>
  <c r="M27" i="106"/>
  <c r="L27" i="106"/>
  <c r="J27" i="106"/>
  <c r="I27" i="106"/>
  <c r="G27" i="106"/>
  <c r="E27" i="106"/>
  <c r="U26" i="106"/>
  <c r="T26" i="106"/>
  <c r="V26" i="106" s="1"/>
  <c r="P26" i="106"/>
  <c r="Q26" i="106" s="1"/>
  <c r="K26" i="106"/>
  <c r="U25" i="106"/>
  <c r="T25" i="106"/>
  <c r="V25" i="106" s="1"/>
  <c r="Q25" i="106"/>
  <c r="R25" i="106" s="1"/>
  <c r="P25" i="106"/>
  <c r="K25" i="106"/>
  <c r="U24" i="106"/>
  <c r="T24" i="106"/>
  <c r="P24" i="106"/>
  <c r="Q24" i="106" s="1"/>
  <c r="K24" i="106"/>
  <c r="U23" i="106"/>
  <c r="U27" i="106" s="1"/>
  <c r="T23" i="106"/>
  <c r="V23" i="106" s="1"/>
  <c r="P23" i="106"/>
  <c r="Q23" i="106" s="1"/>
  <c r="K23" i="106"/>
  <c r="S20" i="106"/>
  <c r="O20" i="106"/>
  <c r="N20" i="106"/>
  <c r="M20" i="106"/>
  <c r="L20" i="106"/>
  <c r="J20" i="106"/>
  <c r="I20" i="106"/>
  <c r="G20" i="106"/>
  <c r="E20" i="106"/>
  <c r="U19" i="106"/>
  <c r="T19" i="106"/>
  <c r="P19" i="106"/>
  <c r="Q19" i="106" s="1"/>
  <c r="K19" i="106"/>
  <c r="U18" i="106"/>
  <c r="T18" i="106"/>
  <c r="P18" i="106"/>
  <c r="Q18" i="106" s="1"/>
  <c r="K18" i="106"/>
  <c r="U17" i="106"/>
  <c r="V17" i="106" s="1"/>
  <c r="T17" i="106"/>
  <c r="P17" i="106"/>
  <c r="Q17" i="106" s="1"/>
  <c r="K17" i="106"/>
  <c r="U16" i="106"/>
  <c r="T16" i="106"/>
  <c r="P16" i="106"/>
  <c r="Q16" i="106" s="1"/>
  <c r="K16" i="106"/>
  <c r="U15" i="106"/>
  <c r="T15" i="106"/>
  <c r="P15" i="106"/>
  <c r="Q15" i="106" s="1"/>
  <c r="K15" i="106"/>
  <c r="U14" i="106"/>
  <c r="T14" i="106"/>
  <c r="P14" i="106"/>
  <c r="Q14" i="106" s="1"/>
  <c r="K14" i="106"/>
  <c r="U13" i="106"/>
  <c r="T13" i="106"/>
  <c r="P13" i="106"/>
  <c r="Q13" i="106" s="1"/>
  <c r="K13" i="106"/>
  <c r="U12" i="106"/>
  <c r="T12" i="106"/>
  <c r="P12" i="106"/>
  <c r="Q12" i="106" s="1"/>
  <c r="K12" i="106"/>
  <c r="S9" i="106"/>
  <c r="O9" i="106"/>
  <c r="N9" i="106"/>
  <c r="M9" i="106"/>
  <c r="L9" i="106"/>
  <c r="J9" i="106"/>
  <c r="I9" i="106"/>
  <c r="G9" i="106"/>
  <c r="E9" i="106"/>
  <c r="U8" i="106"/>
  <c r="T8" i="106"/>
  <c r="P8" i="106"/>
  <c r="Q8" i="106" s="1"/>
  <c r="K8" i="106"/>
  <c r="U7" i="106"/>
  <c r="T7" i="106"/>
  <c r="V7" i="106" s="1"/>
  <c r="P7" i="106"/>
  <c r="P9" i="106" s="1"/>
  <c r="K7" i="106"/>
  <c r="K9" i="106" s="1"/>
  <c r="R32" i="106" l="1"/>
  <c r="T9" i="106"/>
  <c r="R20" i="107"/>
  <c r="Q9" i="107"/>
  <c r="V44" i="107"/>
  <c r="R42" i="106"/>
  <c r="V14" i="106"/>
  <c r="V36" i="106"/>
  <c r="V37" i="106"/>
  <c r="V38" i="106"/>
  <c r="Q7" i="106"/>
  <c r="R7" i="106" s="1"/>
  <c r="V18" i="106"/>
  <c r="V32" i="106"/>
  <c r="V47" i="106"/>
  <c r="P60" i="107"/>
  <c r="R9" i="107"/>
  <c r="U20" i="106"/>
  <c r="V13" i="106"/>
  <c r="V20" i="107"/>
  <c r="V60" i="107" s="1"/>
  <c r="R60" i="109"/>
  <c r="K60" i="107"/>
  <c r="R44" i="107"/>
  <c r="T60" i="107"/>
  <c r="Q44" i="107"/>
  <c r="Q60" i="107" s="1"/>
  <c r="R23" i="107"/>
  <c r="R27" i="107" s="1"/>
  <c r="R47" i="107"/>
  <c r="R53" i="107" s="1"/>
  <c r="R48" i="106"/>
  <c r="R52" i="106"/>
  <c r="R47" i="106"/>
  <c r="R51" i="106"/>
  <c r="R34" i="106"/>
  <c r="R35" i="106"/>
  <c r="R37" i="106"/>
  <c r="R38" i="106"/>
  <c r="R12" i="106"/>
  <c r="R13" i="106"/>
  <c r="R15" i="106"/>
  <c r="R16" i="106"/>
  <c r="R17" i="106"/>
  <c r="R8" i="106"/>
  <c r="R9" i="106" s="1"/>
  <c r="R33" i="106"/>
  <c r="R31" i="106"/>
  <c r="R26" i="106"/>
  <c r="R19" i="106"/>
  <c r="V24" i="106"/>
  <c r="V27" i="106" s="1"/>
  <c r="U9" i="106"/>
  <c r="E60" i="106"/>
  <c r="Q20" i="106"/>
  <c r="K27" i="106"/>
  <c r="R24" i="106"/>
  <c r="V31" i="106"/>
  <c r="V35" i="106"/>
  <c r="R43" i="106"/>
  <c r="P53" i="106"/>
  <c r="V12" i="106"/>
  <c r="R14" i="106"/>
  <c r="V15" i="106"/>
  <c r="V16" i="106"/>
  <c r="R18" i="106"/>
  <c r="V19" i="106"/>
  <c r="Q27" i="106"/>
  <c r="K53" i="106"/>
  <c r="T53" i="106"/>
  <c r="U53" i="106"/>
  <c r="V49" i="106"/>
  <c r="V39" i="106"/>
  <c r="V40" i="106"/>
  <c r="R39" i="106"/>
  <c r="R40" i="106"/>
  <c r="R41" i="106"/>
  <c r="N60" i="106"/>
  <c r="I60" i="106"/>
  <c r="L60" i="106"/>
  <c r="G60" i="106"/>
  <c r="S60" i="106"/>
  <c r="J60" i="106"/>
  <c r="T44" i="106"/>
  <c r="P44" i="106"/>
  <c r="O60" i="106"/>
  <c r="U44" i="106"/>
  <c r="M60" i="106"/>
  <c r="P20" i="106"/>
  <c r="T20" i="106"/>
  <c r="P27" i="106"/>
  <c r="T27" i="106"/>
  <c r="K44" i="106"/>
  <c r="Q49" i="106"/>
  <c r="R49" i="106" s="1"/>
  <c r="Q56" i="106"/>
  <c r="Q57" i="106" s="1"/>
  <c r="V56" i="106"/>
  <c r="V57" i="106" s="1"/>
  <c r="Q30" i="106"/>
  <c r="Q44" i="106" s="1"/>
  <c r="V30" i="106"/>
  <c r="V48" i="106"/>
  <c r="K20" i="106"/>
  <c r="V8" i="106"/>
  <c r="V9" i="106" s="1"/>
  <c r="R23" i="106"/>
  <c r="P18" i="105"/>
  <c r="Q9" i="106" l="1"/>
  <c r="U60" i="106"/>
  <c r="P60" i="106"/>
  <c r="R60" i="107"/>
  <c r="R20" i="106"/>
  <c r="R53" i="106"/>
  <c r="Q53" i="106"/>
  <c r="R27" i="106"/>
  <c r="R56" i="106"/>
  <c r="R57" i="106" s="1"/>
  <c r="V53" i="106"/>
  <c r="V20" i="106"/>
  <c r="T60" i="106"/>
  <c r="V44" i="106"/>
  <c r="K60" i="106"/>
  <c r="Q60" i="106"/>
  <c r="R30" i="106"/>
  <c r="R44" i="106" s="1"/>
  <c r="U37" i="105"/>
  <c r="T37" i="105"/>
  <c r="P37" i="105"/>
  <c r="Q37" i="105" s="1"/>
  <c r="K37" i="105"/>
  <c r="U41" i="105"/>
  <c r="T41" i="105"/>
  <c r="P41" i="105"/>
  <c r="K41" i="105"/>
  <c r="R41" i="105" s="1"/>
  <c r="S58" i="105"/>
  <c r="O58" i="105"/>
  <c r="N58" i="105"/>
  <c r="M58" i="105"/>
  <c r="L58" i="105"/>
  <c r="J58" i="105"/>
  <c r="I58" i="105"/>
  <c r="G58" i="105"/>
  <c r="E58" i="105"/>
  <c r="U57" i="105"/>
  <c r="U58" i="105" s="1"/>
  <c r="T57" i="105"/>
  <c r="P57" i="105"/>
  <c r="Q57" i="105" s="1"/>
  <c r="K57" i="105"/>
  <c r="K58" i="105" s="1"/>
  <c r="S54" i="105"/>
  <c r="O54" i="105"/>
  <c r="N54" i="105"/>
  <c r="M54" i="105"/>
  <c r="L54" i="105"/>
  <c r="J54" i="105"/>
  <c r="I54" i="105"/>
  <c r="H54" i="105"/>
  <c r="G54" i="105"/>
  <c r="E54" i="105"/>
  <c r="V53" i="105"/>
  <c r="Q53" i="105"/>
  <c r="K53" i="105"/>
  <c r="V52" i="105"/>
  <c r="Q52" i="105"/>
  <c r="K52" i="105"/>
  <c r="V51" i="105"/>
  <c r="Q51" i="105"/>
  <c r="K51" i="105"/>
  <c r="U50" i="105"/>
  <c r="T50" i="105"/>
  <c r="P50" i="105"/>
  <c r="Q50" i="105" s="1"/>
  <c r="K50" i="105"/>
  <c r="U49" i="105"/>
  <c r="T49" i="105"/>
  <c r="P49" i="105"/>
  <c r="Q49" i="105" s="1"/>
  <c r="K49" i="105"/>
  <c r="U48" i="105"/>
  <c r="U54" i="105" s="1"/>
  <c r="T48" i="105"/>
  <c r="P48" i="105"/>
  <c r="Q48" i="105" s="1"/>
  <c r="K48" i="105"/>
  <c r="S45" i="105"/>
  <c r="O45" i="105"/>
  <c r="N45" i="105"/>
  <c r="M45" i="105"/>
  <c r="L45" i="105"/>
  <c r="J45" i="105"/>
  <c r="I45" i="105"/>
  <c r="H45" i="105"/>
  <c r="G45" i="105"/>
  <c r="F45" i="105"/>
  <c r="E45" i="105"/>
  <c r="V44" i="105"/>
  <c r="Q44" i="105"/>
  <c r="K44" i="105"/>
  <c r="V43" i="105"/>
  <c r="Q43" i="105"/>
  <c r="K43" i="105"/>
  <c r="V42" i="105"/>
  <c r="Q42" i="105"/>
  <c r="K42" i="105"/>
  <c r="U40" i="105"/>
  <c r="T40" i="105"/>
  <c r="P40" i="105"/>
  <c r="Q40" i="105" s="1"/>
  <c r="K40" i="105"/>
  <c r="U39" i="105"/>
  <c r="T39" i="105"/>
  <c r="P39" i="105"/>
  <c r="Q39" i="105" s="1"/>
  <c r="K39" i="105"/>
  <c r="U38" i="105"/>
  <c r="T38" i="105"/>
  <c r="P38" i="105"/>
  <c r="Q38" i="105" s="1"/>
  <c r="K38" i="105"/>
  <c r="U36" i="105"/>
  <c r="T36" i="105"/>
  <c r="P36" i="105"/>
  <c r="Q36" i="105" s="1"/>
  <c r="K36" i="105"/>
  <c r="U35" i="105"/>
  <c r="T35" i="105"/>
  <c r="P35" i="105"/>
  <c r="Q35" i="105" s="1"/>
  <c r="K35" i="105"/>
  <c r="U34" i="105"/>
  <c r="T34" i="105"/>
  <c r="P34" i="105"/>
  <c r="Q34" i="105" s="1"/>
  <c r="K34" i="105"/>
  <c r="U33" i="105"/>
  <c r="T33" i="105"/>
  <c r="P33" i="105"/>
  <c r="Q33" i="105" s="1"/>
  <c r="K33" i="105"/>
  <c r="U32" i="105"/>
  <c r="T32" i="105"/>
  <c r="P32" i="105"/>
  <c r="Q32" i="105" s="1"/>
  <c r="K32" i="105"/>
  <c r="U31" i="105"/>
  <c r="T31" i="105"/>
  <c r="P31" i="105"/>
  <c r="Q31" i="105" s="1"/>
  <c r="K31" i="105"/>
  <c r="U30" i="105"/>
  <c r="T30" i="105"/>
  <c r="P30" i="105"/>
  <c r="Q30" i="105" s="1"/>
  <c r="K30" i="105"/>
  <c r="S27" i="105"/>
  <c r="O27" i="105"/>
  <c r="N27" i="105"/>
  <c r="M27" i="105"/>
  <c r="L27" i="105"/>
  <c r="J27" i="105"/>
  <c r="I27" i="105"/>
  <c r="G27" i="105"/>
  <c r="E27" i="105"/>
  <c r="U26" i="105"/>
  <c r="T26" i="105"/>
  <c r="P26" i="105"/>
  <c r="Q26" i="105" s="1"/>
  <c r="K26" i="105"/>
  <c r="U25" i="105"/>
  <c r="T25" i="105"/>
  <c r="V25" i="105" s="1"/>
  <c r="P25" i="105"/>
  <c r="Q25" i="105" s="1"/>
  <c r="K25" i="105"/>
  <c r="U24" i="105"/>
  <c r="T24" i="105"/>
  <c r="P24" i="105"/>
  <c r="Q24" i="105" s="1"/>
  <c r="K24" i="105"/>
  <c r="U23" i="105"/>
  <c r="T23" i="105"/>
  <c r="P23" i="105"/>
  <c r="Q23" i="105" s="1"/>
  <c r="K23" i="105"/>
  <c r="S20" i="105"/>
  <c r="O20" i="105"/>
  <c r="N20" i="105"/>
  <c r="M20" i="105"/>
  <c r="L20" i="105"/>
  <c r="J20" i="105"/>
  <c r="I20" i="105"/>
  <c r="G20" i="105"/>
  <c r="E20" i="105"/>
  <c r="U19" i="105"/>
  <c r="T19" i="105"/>
  <c r="P19" i="105"/>
  <c r="Q19" i="105" s="1"/>
  <c r="K19" i="105"/>
  <c r="U18" i="105"/>
  <c r="T18" i="105"/>
  <c r="Q18" i="105"/>
  <c r="K18" i="105"/>
  <c r="U17" i="105"/>
  <c r="T17" i="105"/>
  <c r="P17" i="105"/>
  <c r="Q17" i="105" s="1"/>
  <c r="K17" i="105"/>
  <c r="U16" i="105"/>
  <c r="T16" i="105"/>
  <c r="P16" i="105"/>
  <c r="Q16" i="105" s="1"/>
  <c r="K16" i="105"/>
  <c r="U15" i="105"/>
  <c r="T15" i="105"/>
  <c r="P15" i="105"/>
  <c r="Q15" i="105" s="1"/>
  <c r="K15" i="105"/>
  <c r="U14" i="105"/>
  <c r="T14" i="105"/>
  <c r="P14" i="105"/>
  <c r="Q14" i="105" s="1"/>
  <c r="K14" i="105"/>
  <c r="U13" i="105"/>
  <c r="T13" i="105"/>
  <c r="P13" i="105"/>
  <c r="Q13" i="105" s="1"/>
  <c r="K13" i="105"/>
  <c r="U12" i="105"/>
  <c r="T12" i="105"/>
  <c r="P12" i="105"/>
  <c r="Q12" i="105" s="1"/>
  <c r="K12" i="105"/>
  <c r="S9" i="105"/>
  <c r="O9" i="105"/>
  <c r="N9" i="105"/>
  <c r="M9" i="105"/>
  <c r="L9" i="105"/>
  <c r="J9" i="105"/>
  <c r="I9" i="105"/>
  <c r="G9" i="105"/>
  <c r="E9" i="105"/>
  <c r="U8" i="105"/>
  <c r="T8" i="105"/>
  <c r="P8" i="105"/>
  <c r="Q8" i="105" s="1"/>
  <c r="K8" i="105"/>
  <c r="U7" i="105"/>
  <c r="U9" i="105" s="1"/>
  <c r="T7" i="105"/>
  <c r="P7" i="105"/>
  <c r="Q7" i="105" s="1"/>
  <c r="K7" i="105"/>
  <c r="R31" i="105" l="1"/>
  <c r="V31" i="105"/>
  <c r="V13" i="105"/>
  <c r="V17" i="105"/>
  <c r="R50" i="105"/>
  <c r="R51" i="105"/>
  <c r="K9" i="105"/>
  <c r="R16" i="105"/>
  <c r="V38" i="105"/>
  <c r="V41" i="105"/>
  <c r="V37" i="105"/>
  <c r="R60" i="106"/>
  <c r="V60" i="106"/>
  <c r="R13" i="105"/>
  <c r="K27" i="105"/>
  <c r="V32" i="105"/>
  <c r="V35" i="105"/>
  <c r="V36" i="105"/>
  <c r="V57" i="105"/>
  <c r="V58" i="105" s="1"/>
  <c r="R25" i="105"/>
  <c r="R44" i="105"/>
  <c r="R53" i="105"/>
  <c r="R52" i="105"/>
  <c r="R49" i="105"/>
  <c r="R33" i="105"/>
  <c r="R26" i="105"/>
  <c r="R15" i="105"/>
  <c r="R8" i="105"/>
  <c r="L61" i="105"/>
  <c r="P9" i="105"/>
  <c r="R14" i="105"/>
  <c r="R17" i="105"/>
  <c r="R18" i="105"/>
  <c r="R24" i="105"/>
  <c r="V24" i="105"/>
  <c r="R35" i="105"/>
  <c r="R36" i="105"/>
  <c r="R38" i="105"/>
  <c r="R40" i="105"/>
  <c r="R37" i="105"/>
  <c r="T27" i="105"/>
  <c r="S61" i="105"/>
  <c r="V18" i="105"/>
  <c r="V19" i="105"/>
  <c r="M61" i="105"/>
  <c r="V7" i="105"/>
  <c r="T9" i="105"/>
  <c r="V16" i="105"/>
  <c r="V34" i="105"/>
  <c r="T45" i="105"/>
  <c r="R43" i="105"/>
  <c r="U20" i="105"/>
  <c r="V30" i="105"/>
  <c r="R32" i="105"/>
  <c r="R39" i="105"/>
  <c r="R42" i="105"/>
  <c r="K20" i="105"/>
  <c r="V14" i="105"/>
  <c r="V15" i="105"/>
  <c r="U27" i="105"/>
  <c r="K45" i="105"/>
  <c r="V33" i="105"/>
  <c r="V39" i="105"/>
  <c r="V40" i="105"/>
  <c r="V48" i="105"/>
  <c r="T54" i="105"/>
  <c r="V50" i="105"/>
  <c r="R34" i="105"/>
  <c r="G61" i="105"/>
  <c r="Q20" i="105"/>
  <c r="Q45" i="105"/>
  <c r="K54" i="105"/>
  <c r="N61" i="105"/>
  <c r="I61" i="105"/>
  <c r="E61" i="105"/>
  <c r="J61" i="105"/>
  <c r="O61" i="105"/>
  <c r="Q27" i="105"/>
  <c r="R23" i="105"/>
  <c r="Q9" i="105"/>
  <c r="R7" i="105"/>
  <c r="Q54" i="105"/>
  <c r="R48" i="105"/>
  <c r="R19" i="105"/>
  <c r="Q58" i="105"/>
  <c r="R57" i="105"/>
  <c r="R58" i="105" s="1"/>
  <c r="P20" i="105"/>
  <c r="T20" i="105"/>
  <c r="P27" i="105"/>
  <c r="V8" i="105"/>
  <c r="V9" i="105" s="1"/>
  <c r="R12" i="105"/>
  <c r="V26" i="105"/>
  <c r="R30" i="105"/>
  <c r="P45" i="105"/>
  <c r="V49" i="105"/>
  <c r="U45" i="105"/>
  <c r="P58" i="105"/>
  <c r="T58" i="105"/>
  <c r="P54" i="105"/>
  <c r="V12" i="105"/>
  <c r="V23" i="105"/>
  <c r="S58" i="104"/>
  <c r="O58" i="104"/>
  <c r="N58" i="104"/>
  <c r="M58" i="104"/>
  <c r="L58" i="104"/>
  <c r="J58" i="104"/>
  <c r="I58" i="104"/>
  <c r="G58" i="104"/>
  <c r="E58" i="104"/>
  <c r="U57" i="104"/>
  <c r="U58" i="104" s="1"/>
  <c r="T57" i="104"/>
  <c r="T58" i="104" s="1"/>
  <c r="P57" i="104"/>
  <c r="P58" i="104" s="1"/>
  <c r="K57" i="104"/>
  <c r="S54" i="104"/>
  <c r="O54" i="104"/>
  <c r="N54" i="104"/>
  <c r="M54" i="104"/>
  <c r="L54" i="104"/>
  <c r="J54" i="104"/>
  <c r="I54" i="104"/>
  <c r="H54" i="104"/>
  <c r="G54" i="104"/>
  <c r="E54" i="104"/>
  <c r="V53" i="104"/>
  <c r="Q53" i="104"/>
  <c r="K53" i="104"/>
  <c r="V52" i="104"/>
  <c r="Q52" i="104"/>
  <c r="K52" i="104"/>
  <c r="V51" i="104"/>
  <c r="Q51" i="104"/>
  <c r="K51" i="104"/>
  <c r="U50" i="104"/>
  <c r="T50" i="104"/>
  <c r="P50" i="104"/>
  <c r="K50" i="104"/>
  <c r="U49" i="104"/>
  <c r="T49" i="104"/>
  <c r="P49" i="104"/>
  <c r="Q49" i="104" s="1"/>
  <c r="K49" i="104"/>
  <c r="U48" i="104"/>
  <c r="T48" i="104"/>
  <c r="P48" i="104"/>
  <c r="Q48" i="104" s="1"/>
  <c r="R48" i="104" s="1"/>
  <c r="K48" i="104"/>
  <c r="S45" i="104"/>
  <c r="O45" i="104"/>
  <c r="N45" i="104"/>
  <c r="M45" i="104"/>
  <c r="L45" i="104"/>
  <c r="J45" i="104"/>
  <c r="I45" i="104"/>
  <c r="H45" i="104"/>
  <c r="G45" i="104"/>
  <c r="F45" i="104"/>
  <c r="E45" i="104"/>
  <c r="V44" i="104"/>
  <c r="Q44" i="104"/>
  <c r="K44" i="104"/>
  <c r="V43" i="104"/>
  <c r="Q43" i="104"/>
  <c r="K43" i="104"/>
  <c r="R43" i="104" s="1"/>
  <c r="V42" i="104"/>
  <c r="Q42" i="104"/>
  <c r="K42" i="104"/>
  <c r="V41" i="104"/>
  <c r="Q41" i="104"/>
  <c r="K41" i="104"/>
  <c r="U40" i="104"/>
  <c r="T40" i="104"/>
  <c r="V40" i="104" s="1"/>
  <c r="P40" i="104"/>
  <c r="Q40" i="104" s="1"/>
  <c r="K40" i="104"/>
  <c r="U39" i="104"/>
  <c r="T39" i="104"/>
  <c r="P39" i="104"/>
  <c r="Q39" i="104" s="1"/>
  <c r="K39" i="104"/>
  <c r="U38" i="104"/>
  <c r="T38" i="104"/>
  <c r="P38" i="104"/>
  <c r="Q38" i="104" s="1"/>
  <c r="K38" i="104"/>
  <c r="U37" i="104"/>
  <c r="T37" i="104"/>
  <c r="P37" i="104"/>
  <c r="K37" i="104"/>
  <c r="R37" i="104" s="1"/>
  <c r="U36" i="104"/>
  <c r="T36" i="104"/>
  <c r="V36" i="104" s="1"/>
  <c r="P36" i="104"/>
  <c r="Q36" i="104" s="1"/>
  <c r="K36" i="104"/>
  <c r="U35" i="104"/>
  <c r="T35" i="104"/>
  <c r="V35" i="104" s="1"/>
  <c r="P35" i="104"/>
  <c r="Q35" i="104" s="1"/>
  <c r="K35" i="104"/>
  <c r="U34" i="104"/>
  <c r="T34" i="104"/>
  <c r="P34" i="104"/>
  <c r="Q34" i="104" s="1"/>
  <c r="K34" i="104"/>
  <c r="U33" i="104"/>
  <c r="T33" i="104"/>
  <c r="P33" i="104"/>
  <c r="Q33" i="104" s="1"/>
  <c r="K33" i="104"/>
  <c r="U32" i="104"/>
  <c r="T32" i="104"/>
  <c r="P32" i="104"/>
  <c r="Q32" i="104" s="1"/>
  <c r="K32" i="104"/>
  <c r="U31" i="104"/>
  <c r="T31" i="104"/>
  <c r="P31" i="104"/>
  <c r="Q31" i="104" s="1"/>
  <c r="K31" i="104"/>
  <c r="U30" i="104"/>
  <c r="U45" i="104" s="1"/>
  <c r="T30" i="104"/>
  <c r="P30" i="104"/>
  <c r="K30" i="104"/>
  <c r="S27" i="104"/>
  <c r="O27" i="104"/>
  <c r="N27" i="104"/>
  <c r="M27" i="104"/>
  <c r="L27" i="104"/>
  <c r="J27" i="104"/>
  <c r="I27" i="104"/>
  <c r="G27" i="104"/>
  <c r="E27" i="104"/>
  <c r="U26" i="104"/>
  <c r="T26" i="104"/>
  <c r="V26" i="104" s="1"/>
  <c r="P26" i="104"/>
  <c r="Q26" i="104" s="1"/>
  <c r="K26" i="104"/>
  <c r="U25" i="104"/>
  <c r="T25" i="104"/>
  <c r="P25" i="104"/>
  <c r="Q25" i="104" s="1"/>
  <c r="K25" i="104"/>
  <c r="U24" i="104"/>
  <c r="T24" i="104"/>
  <c r="V24" i="104" s="1"/>
  <c r="P24" i="104"/>
  <c r="Q24" i="104" s="1"/>
  <c r="K24" i="104"/>
  <c r="U23" i="104"/>
  <c r="T23" i="104"/>
  <c r="V23" i="104" s="1"/>
  <c r="P23" i="104"/>
  <c r="Q23" i="104" s="1"/>
  <c r="K23" i="104"/>
  <c r="S20" i="104"/>
  <c r="O20" i="104"/>
  <c r="N20" i="104"/>
  <c r="M20" i="104"/>
  <c r="L20" i="104"/>
  <c r="J20" i="104"/>
  <c r="I20" i="104"/>
  <c r="G20" i="104"/>
  <c r="E20" i="104"/>
  <c r="U19" i="104"/>
  <c r="T19" i="104"/>
  <c r="P19" i="104"/>
  <c r="Q19" i="104" s="1"/>
  <c r="K19" i="104"/>
  <c r="U18" i="104"/>
  <c r="T18" i="104"/>
  <c r="V18" i="104" s="1"/>
  <c r="P18" i="104"/>
  <c r="Q18" i="104" s="1"/>
  <c r="K18" i="104"/>
  <c r="U17" i="104"/>
  <c r="T17" i="104"/>
  <c r="P17" i="104"/>
  <c r="Q17" i="104" s="1"/>
  <c r="K17" i="104"/>
  <c r="U16" i="104"/>
  <c r="T16" i="104"/>
  <c r="P16" i="104"/>
  <c r="Q16" i="104" s="1"/>
  <c r="K16" i="104"/>
  <c r="U15" i="104"/>
  <c r="T15" i="104"/>
  <c r="V15" i="104" s="1"/>
  <c r="P15" i="104"/>
  <c r="Q15" i="104" s="1"/>
  <c r="K15" i="104"/>
  <c r="U14" i="104"/>
  <c r="T14" i="104"/>
  <c r="V14" i="104" s="1"/>
  <c r="P14" i="104"/>
  <c r="Q14" i="104" s="1"/>
  <c r="K14" i="104"/>
  <c r="R14" i="104" s="1"/>
  <c r="U13" i="104"/>
  <c r="T13" i="104"/>
  <c r="V13" i="104" s="1"/>
  <c r="P13" i="104"/>
  <c r="Q13" i="104" s="1"/>
  <c r="K13" i="104"/>
  <c r="U12" i="104"/>
  <c r="T12" i="104"/>
  <c r="V12" i="104" s="1"/>
  <c r="P12" i="104"/>
  <c r="Q12" i="104" s="1"/>
  <c r="K12" i="104"/>
  <c r="S9" i="104"/>
  <c r="O9" i="104"/>
  <c r="N9" i="104"/>
  <c r="M9" i="104"/>
  <c r="L9" i="104"/>
  <c r="J9" i="104"/>
  <c r="I9" i="104"/>
  <c r="G9" i="104"/>
  <c r="E9" i="104"/>
  <c r="U8" i="104"/>
  <c r="U9" i="104" s="1"/>
  <c r="T8" i="104"/>
  <c r="P8" i="104"/>
  <c r="Q8" i="104" s="1"/>
  <c r="K8" i="104"/>
  <c r="V7" i="104"/>
  <c r="U7" i="104"/>
  <c r="T7" i="104"/>
  <c r="P7" i="104"/>
  <c r="Q7" i="104" s="1"/>
  <c r="K7" i="104"/>
  <c r="R33" i="104" l="1"/>
  <c r="R53" i="104"/>
  <c r="R32" i="104"/>
  <c r="V31" i="104"/>
  <c r="R9" i="105"/>
  <c r="K9" i="104"/>
  <c r="V19" i="104"/>
  <c r="R24" i="104"/>
  <c r="V38" i="104"/>
  <c r="V39" i="104"/>
  <c r="R52" i="104"/>
  <c r="T27" i="104"/>
  <c r="R13" i="104"/>
  <c r="R17" i="104"/>
  <c r="R19" i="104"/>
  <c r="V32" i="104"/>
  <c r="V33" i="104"/>
  <c r="V34" i="104"/>
  <c r="R36" i="104"/>
  <c r="R39" i="104"/>
  <c r="V48" i="104"/>
  <c r="R25" i="104"/>
  <c r="P9" i="104"/>
  <c r="M61" i="104"/>
  <c r="R8" i="104"/>
  <c r="S61" i="104"/>
  <c r="V17" i="104"/>
  <c r="U27" i="104"/>
  <c r="V25" i="104"/>
  <c r="V27" i="104" s="1"/>
  <c r="R31" i="104"/>
  <c r="V37" i="104"/>
  <c r="R40" i="104"/>
  <c r="L61" i="104"/>
  <c r="R35" i="104"/>
  <c r="R38" i="104"/>
  <c r="V8" i="104"/>
  <c r="V9" i="104" s="1"/>
  <c r="R26" i="104"/>
  <c r="J61" i="104"/>
  <c r="U54" i="104"/>
  <c r="T61" i="105"/>
  <c r="R54" i="105"/>
  <c r="R27" i="105"/>
  <c r="V27" i="105"/>
  <c r="R45" i="105"/>
  <c r="V20" i="105"/>
  <c r="K61" i="105"/>
  <c r="V45" i="105"/>
  <c r="U61" i="105"/>
  <c r="V54" i="105"/>
  <c r="R20" i="105"/>
  <c r="P61" i="105"/>
  <c r="Q61" i="105"/>
  <c r="R41" i="104"/>
  <c r="R16" i="104"/>
  <c r="R15" i="104"/>
  <c r="Q9" i="104"/>
  <c r="R42" i="104"/>
  <c r="G61" i="104"/>
  <c r="N61" i="104"/>
  <c r="K54" i="104"/>
  <c r="R51" i="104"/>
  <c r="R18" i="104"/>
  <c r="I61" i="104"/>
  <c r="Q20" i="104"/>
  <c r="P20" i="104"/>
  <c r="Q27" i="104"/>
  <c r="K27" i="104"/>
  <c r="K45" i="104"/>
  <c r="R7" i="104"/>
  <c r="T9" i="104"/>
  <c r="U20" i="104"/>
  <c r="T20" i="104"/>
  <c r="P27" i="104"/>
  <c r="P45" i="104"/>
  <c r="Q30" i="104"/>
  <c r="Q45" i="104" s="1"/>
  <c r="R49" i="104"/>
  <c r="Q50" i="104"/>
  <c r="Q54" i="104" s="1"/>
  <c r="P54" i="104"/>
  <c r="E61" i="104"/>
  <c r="O61" i="104"/>
  <c r="R12" i="104"/>
  <c r="V16" i="104"/>
  <c r="K20" i="104"/>
  <c r="R23" i="104"/>
  <c r="T45" i="104"/>
  <c r="V30" i="104"/>
  <c r="R34" i="104"/>
  <c r="R44" i="104"/>
  <c r="V49" i="104"/>
  <c r="T54" i="104"/>
  <c r="V50" i="104"/>
  <c r="K58" i="104"/>
  <c r="Q57" i="104"/>
  <c r="Q58" i="104" s="1"/>
  <c r="V57" i="104"/>
  <c r="V58" i="104" s="1"/>
  <c r="S58" i="103"/>
  <c r="O58" i="103"/>
  <c r="N58" i="103"/>
  <c r="M58" i="103"/>
  <c r="L58" i="103"/>
  <c r="J58" i="103"/>
  <c r="I58" i="103"/>
  <c r="G58" i="103"/>
  <c r="E58" i="103"/>
  <c r="U57" i="103"/>
  <c r="U58" i="103" s="1"/>
  <c r="T57" i="103"/>
  <c r="P57" i="103"/>
  <c r="Q57" i="103" s="1"/>
  <c r="Q58" i="103" s="1"/>
  <c r="K57" i="103"/>
  <c r="K58" i="103" s="1"/>
  <c r="S54" i="103"/>
  <c r="O54" i="103"/>
  <c r="N54" i="103"/>
  <c r="M54" i="103"/>
  <c r="L54" i="103"/>
  <c r="J54" i="103"/>
  <c r="I54" i="103"/>
  <c r="H54" i="103"/>
  <c r="G54" i="103"/>
  <c r="E54" i="103"/>
  <c r="V53" i="103"/>
  <c r="Q53" i="103"/>
  <c r="R53" i="103" s="1"/>
  <c r="K53" i="103"/>
  <c r="V52" i="103"/>
  <c r="Q52" i="103"/>
  <c r="R52" i="103" s="1"/>
  <c r="K52" i="103"/>
  <c r="V51" i="103"/>
  <c r="Q51" i="103"/>
  <c r="R51" i="103" s="1"/>
  <c r="K51" i="103"/>
  <c r="U50" i="103"/>
  <c r="T50" i="103"/>
  <c r="V50" i="103" s="1"/>
  <c r="P50" i="103"/>
  <c r="Q50" i="103" s="1"/>
  <c r="K50" i="103"/>
  <c r="U49" i="103"/>
  <c r="T49" i="103"/>
  <c r="V49" i="103" s="1"/>
  <c r="P49" i="103"/>
  <c r="Q49" i="103" s="1"/>
  <c r="K49" i="103"/>
  <c r="U48" i="103"/>
  <c r="T48" i="103"/>
  <c r="V48" i="103" s="1"/>
  <c r="V54" i="103" s="1"/>
  <c r="P48" i="103"/>
  <c r="Q48" i="103" s="1"/>
  <c r="R48" i="103" s="1"/>
  <c r="K48" i="103"/>
  <c r="S45" i="103"/>
  <c r="O45" i="103"/>
  <c r="N45" i="103"/>
  <c r="M45" i="103"/>
  <c r="L45" i="103"/>
  <c r="J45" i="103"/>
  <c r="I45" i="103"/>
  <c r="H45" i="103"/>
  <c r="G45" i="103"/>
  <c r="F45" i="103"/>
  <c r="E45" i="103"/>
  <c r="V44" i="103"/>
  <c r="Q44" i="103"/>
  <c r="K44" i="103"/>
  <c r="V43" i="103"/>
  <c r="Q43" i="103"/>
  <c r="K43" i="103"/>
  <c r="R43" i="103" s="1"/>
  <c r="V42" i="103"/>
  <c r="Q42" i="103"/>
  <c r="K42" i="103"/>
  <c r="V41" i="103"/>
  <c r="Q41" i="103"/>
  <c r="K41" i="103"/>
  <c r="U40" i="103"/>
  <c r="T40" i="103"/>
  <c r="V40" i="103" s="1"/>
  <c r="P40" i="103"/>
  <c r="Q40" i="103" s="1"/>
  <c r="K40" i="103"/>
  <c r="U39" i="103"/>
  <c r="T39" i="103"/>
  <c r="V39" i="103" s="1"/>
  <c r="P39" i="103"/>
  <c r="Q39" i="103" s="1"/>
  <c r="K39" i="103"/>
  <c r="U38" i="103"/>
  <c r="T38" i="103"/>
  <c r="V38" i="103" s="1"/>
  <c r="P38" i="103"/>
  <c r="Q38" i="103" s="1"/>
  <c r="K38" i="103"/>
  <c r="U37" i="103"/>
  <c r="T37" i="103"/>
  <c r="P37" i="103"/>
  <c r="K37" i="103"/>
  <c r="R37" i="103" s="1"/>
  <c r="U36" i="103"/>
  <c r="T36" i="103"/>
  <c r="P36" i="103"/>
  <c r="Q36" i="103" s="1"/>
  <c r="K36" i="103"/>
  <c r="U35" i="103"/>
  <c r="T35" i="103"/>
  <c r="V35" i="103" s="1"/>
  <c r="P35" i="103"/>
  <c r="Q35" i="103" s="1"/>
  <c r="K35" i="103"/>
  <c r="U34" i="103"/>
  <c r="T34" i="103"/>
  <c r="V34" i="103" s="1"/>
  <c r="P34" i="103"/>
  <c r="Q34" i="103" s="1"/>
  <c r="K34" i="103"/>
  <c r="U33" i="103"/>
  <c r="T33" i="103"/>
  <c r="V33" i="103" s="1"/>
  <c r="P33" i="103"/>
  <c r="Q33" i="103" s="1"/>
  <c r="K33" i="103"/>
  <c r="U32" i="103"/>
  <c r="T32" i="103"/>
  <c r="P32" i="103"/>
  <c r="Q32" i="103" s="1"/>
  <c r="R32" i="103" s="1"/>
  <c r="K32" i="103"/>
  <c r="U31" i="103"/>
  <c r="T31" i="103"/>
  <c r="P31" i="103"/>
  <c r="Q31" i="103" s="1"/>
  <c r="K31" i="103"/>
  <c r="U30" i="103"/>
  <c r="T30" i="103"/>
  <c r="P30" i="103"/>
  <c r="Q30" i="103" s="1"/>
  <c r="K30" i="103"/>
  <c r="S27" i="103"/>
  <c r="O27" i="103"/>
  <c r="N27" i="103"/>
  <c r="M27" i="103"/>
  <c r="L27" i="103"/>
  <c r="J27" i="103"/>
  <c r="I27" i="103"/>
  <c r="G27" i="103"/>
  <c r="E27" i="103"/>
  <c r="U26" i="103"/>
  <c r="T26" i="103"/>
  <c r="V26" i="103" s="1"/>
  <c r="P26" i="103"/>
  <c r="Q26" i="103" s="1"/>
  <c r="K26" i="103"/>
  <c r="U25" i="103"/>
  <c r="T25" i="103"/>
  <c r="P25" i="103"/>
  <c r="Q25" i="103" s="1"/>
  <c r="K25" i="103"/>
  <c r="U24" i="103"/>
  <c r="T24" i="103"/>
  <c r="P24" i="103"/>
  <c r="Q24" i="103" s="1"/>
  <c r="K24" i="103"/>
  <c r="U23" i="103"/>
  <c r="T23" i="103"/>
  <c r="P23" i="103"/>
  <c r="Q23" i="103" s="1"/>
  <c r="K23" i="103"/>
  <c r="K27" i="103" s="1"/>
  <c r="S20" i="103"/>
  <c r="O20" i="103"/>
  <c r="N20" i="103"/>
  <c r="M20" i="103"/>
  <c r="L20" i="103"/>
  <c r="J20" i="103"/>
  <c r="I20" i="103"/>
  <c r="G20" i="103"/>
  <c r="E20" i="103"/>
  <c r="U19" i="103"/>
  <c r="T19" i="103"/>
  <c r="P19" i="103"/>
  <c r="Q19" i="103" s="1"/>
  <c r="K19" i="103"/>
  <c r="U18" i="103"/>
  <c r="T18" i="103"/>
  <c r="P18" i="103"/>
  <c r="Q18" i="103" s="1"/>
  <c r="K18" i="103"/>
  <c r="U17" i="103"/>
  <c r="T17" i="103"/>
  <c r="P17" i="103"/>
  <c r="Q17" i="103" s="1"/>
  <c r="K17" i="103"/>
  <c r="U16" i="103"/>
  <c r="V16" i="103" s="1"/>
  <c r="T16" i="103"/>
  <c r="P16" i="103"/>
  <c r="Q16" i="103" s="1"/>
  <c r="K16" i="103"/>
  <c r="U15" i="103"/>
  <c r="T15" i="103"/>
  <c r="P15" i="103"/>
  <c r="Q15" i="103" s="1"/>
  <c r="K15" i="103"/>
  <c r="U14" i="103"/>
  <c r="T14" i="103"/>
  <c r="P14" i="103"/>
  <c r="Q14" i="103" s="1"/>
  <c r="K14" i="103"/>
  <c r="U13" i="103"/>
  <c r="T13" i="103"/>
  <c r="P13" i="103"/>
  <c r="Q13" i="103" s="1"/>
  <c r="K13" i="103"/>
  <c r="U12" i="103"/>
  <c r="T12" i="103"/>
  <c r="P12" i="103"/>
  <c r="Q12" i="103" s="1"/>
  <c r="K12" i="103"/>
  <c r="S9" i="103"/>
  <c r="O9" i="103"/>
  <c r="N9" i="103"/>
  <c r="M9" i="103"/>
  <c r="M61" i="103" s="1"/>
  <c r="L9" i="103"/>
  <c r="J9" i="103"/>
  <c r="I9" i="103"/>
  <c r="G9" i="103"/>
  <c r="G61" i="103" s="1"/>
  <c r="E9" i="103"/>
  <c r="U8" i="103"/>
  <c r="T8" i="103"/>
  <c r="Q8" i="103"/>
  <c r="P8" i="103"/>
  <c r="K8" i="103"/>
  <c r="U7" i="103"/>
  <c r="T7" i="103"/>
  <c r="V7" i="103" s="1"/>
  <c r="P7" i="103"/>
  <c r="Q7" i="103" s="1"/>
  <c r="K7" i="103"/>
  <c r="K9" i="103" s="1"/>
  <c r="K61" i="104" l="1"/>
  <c r="R14" i="103"/>
  <c r="V20" i="104"/>
  <c r="U61" i="104"/>
  <c r="V19" i="103"/>
  <c r="R25" i="103"/>
  <c r="V57" i="103"/>
  <c r="V58" i="103" s="1"/>
  <c r="V61" i="105"/>
  <c r="U9" i="103"/>
  <c r="V8" i="103"/>
  <c r="N61" i="103"/>
  <c r="V24" i="103"/>
  <c r="V25" i="103"/>
  <c r="R39" i="103"/>
  <c r="R44" i="103"/>
  <c r="R49" i="103"/>
  <c r="T61" i="104"/>
  <c r="V45" i="104"/>
  <c r="U20" i="103"/>
  <c r="V13" i="103"/>
  <c r="V14" i="103"/>
  <c r="V17" i="103"/>
  <c r="V18" i="103"/>
  <c r="V31" i="103"/>
  <c r="V32" i="103"/>
  <c r="R34" i="103"/>
  <c r="R38" i="103"/>
  <c r="R27" i="104"/>
  <c r="R13" i="103"/>
  <c r="R16" i="103"/>
  <c r="R30" i="104"/>
  <c r="R8" i="103"/>
  <c r="J61" i="103"/>
  <c r="O61" i="103"/>
  <c r="T20" i="103"/>
  <c r="R19" i="103"/>
  <c r="R26" i="103"/>
  <c r="V30" i="103"/>
  <c r="R33" i="103"/>
  <c r="R36" i="103"/>
  <c r="R42" i="103"/>
  <c r="K54" i="103"/>
  <c r="R50" i="103"/>
  <c r="V54" i="104"/>
  <c r="V61" i="104" s="1"/>
  <c r="R20" i="104"/>
  <c r="P61" i="104"/>
  <c r="R17" i="103"/>
  <c r="R24" i="103"/>
  <c r="R31" i="103"/>
  <c r="E61" i="103"/>
  <c r="L61" i="103"/>
  <c r="P9" i="103"/>
  <c r="V12" i="103"/>
  <c r="R15" i="103"/>
  <c r="U27" i="103"/>
  <c r="U45" i="103"/>
  <c r="R35" i="103"/>
  <c r="V36" i="103"/>
  <c r="V37" i="103"/>
  <c r="R40" i="103"/>
  <c r="R41" i="103"/>
  <c r="U54" i="103"/>
  <c r="R9" i="104"/>
  <c r="R61" i="105"/>
  <c r="Q61" i="104"/>
  <c r="R50" i="104"/>
  <c r="R54" i="104" s="1"/>
  <c r="R45" i="104"/>
  <c r="R57" i="104"/>
  <c r="R58" i="104" s="1"/>
  <c r="K45" i="103"/>
  <c r="I61" i="103"/>
  <c r="R18" i="103"/>
  <c r="K20" i="103"/>
  <c r="S61" i="103"/>
  <c r="Q9" i="103"/>
  <c r="R7" i="103"/>
  <c r="Q27" i="103"/>
  <c r="R23" i="103"/>
  <c r="Q45" i="103"/>
  <c r="R30" i="103"/>
  <c r="K61" i="103"/>
  <c r="Q20" i="103"/>
  <c r="R12" i="103"/>
  <c r="V9" i="103"/>
  <c r="Q54" i="103"/>
  <c r="T9" i="103"/>
  <c r="T27" i="103"/>
  <c r="T54" i="103"/>
  <c r="V15" i="103"/>
  <c r="P45" i="103"/>
  <c r="T45" i="103"/>
  <c r="R57" i="103"/>
  <c r="R58" i="103" s="1"/>
  <c r="P20" i="103"/>
  <c r="P27" i="103"/>
  <c r="P58" i="103"/>
  <c r="T58" i="103"/>
  <c r="P54" i="103"/>
  <c r="V23" i="103"/>
  <c r="R9" i="103" l="1"/>
  <c r="V20" i="103"/>
  <c r="V27" i="103"/>
  <c r="U61" i="103"/>
  <c r="R54" i="103"/>
  <c r="V45" i="103"/>
  <c r="R45" i="103"/>
  <c r="P61" i="103"/>
  <c r="R20" i="103"/>
  <c r="R27" i="103"/>
  <c r="R61" i="104"/>
  <c r="T61" i="103"/>
  <c r="Q61" i="103"/>
  <c r="S58" i="102"/>
  <c r="O58" i="102"/>
  <c r="N58" i="102"/>
  <c r="M58" i="102"/>
  <c r="L58" i="102"/>
  <c r="J58" i="102"/>
  <c r="I58" i="102"/>
  <c r="G58" i="102"/>
  <c r="E58" i="102"/>
  <c r="U57" i="102"/>
  <c r="U58" i="102" s="1"/>
  <c r="T57" i="102"/>
  <c r="P57" i="102"/>
  <c r="Q57" i="102" s="1"/>
  <c r="Q58" i="102" s="1"/>
  <c r="K57" i="102"/>
  <c r="K58" i="102" s="1"/>
  <c r="S54" i="102"/>
  <c r="O54" i="102"/>
  <c r="N54" i="102"/>
  <c r="M54" i="102"/>
  <c r="L54" i="102"/>
  <c r="J54" i="102"/>
  <c r="I54" i="102"/>
  <c r="H54" i="102"/>
  <c r="G54" i="102"/>
  <c r="E54" i="102"/>
  <c r="V53" i="102"/>
  <c r="Q53" i="102"/>
  <c r="K53" i="102"/>
  <c r="V52" i="102"/>
  <c r="Q52" i="102"/>
  <c r="K52" i="102"/>
  <c r="V51" i="102"/>
  <c r="Q51" i="102"/>
  <c r="K51" i="102"/>
  <c r="U50" i="102"/>
  <c r="T50" i="102"/>
  <c r="V50" i="102" s="1"/>
  <c r="P50" i="102"/>
  <c r="Q50" i="102" s="1"/>
  <c r="K50" i="102"/>
  <c r="U49" i="102"/>
  <c r="T49" i="102"/>
  <c r="V49" i="102" s="1"/>
  <c r="P49" i="102"/>
  <c r="Q49" i="102" s="1"/>
  <c r="K49" i="102"/>
  <c r="U48" i="102"/>
  <c r="U54" i="102" s="1"/>
  <c r="T48" i="102"/>
  <c r="T54" i="102" s="1"/>
  <c r="P48" i="102"/>
  <c r="P54" i="102" s="1"/>
  <c r="K48" i="102"/>
  <c r="S45" i="102"/>
  <c r="O45" i="102"/>
  <c r="N45" i="102"/>
  <c r="M45" i="102"/>
  <c r="L45" i="102"/>
  <c r="J45" i="102"/>
  <c r="I45" i="102"/>
  <c r="H45" i="102"/>
  <c r="G45" i="102"/>
  <c r="F45" i="102"/>
  <c r="E45" i="102"/>
  <c r="V44" i="102"/>
  <c r="Q44" i="102"/>
  <c r="K44" i="102"/>
  <c r="R44" i="102" s="1"/>
  <c r="V43" i="102"/>
  <c r="Q43" i="102"/>
  <c r="K43" i="102"/>
  <c r="V42" i="102"/>
  <c r="Q42" i="102"/>
  <c r="K42" i="102"/>
  <c r="V41" i="102"/>
  <c r="Q41" i="102"/>
  <c r="K41" i="102"/>
  <c r="U40" i="102"/>
  <c r="T40" i="102"/>
  <c r="P40" i="102"/>
  <c r="Q40" i="102" s="1"/>
  <c r="K40" i="102"/>
  <c r="U39" i="102"/>
  <c r="T39" i="102"/>
  <c r="P39" i="102"/>
  <c r="Q39" i="102" s="1"/>
  <c r="K39" i="102"/>
  <c r="U38" i="102"/>
  <c r="T38" i="102"/>
  <c r="V38" i="102" s="1"/>
  <c r="P38" i="102"/>
  <c r="Q38" i="102" s="1"/>
  <c r="K38" i="102"/>
  <c r="U37" i="102"/>
  <c r="T37" i="102"/>
  <c r="V37" i="102" s="1"/>
  <c r="P37" i="102"/>
  <c r="K37" i="102"/>
  <c r="R37" i="102" s="1"/>
  <c r="U36" i="102"/>
  <c r="T36" i="102"/>
  <c r="P36" i="102"/>
  <c r="Q36" i="102" s="1"/>
  <c r="K36" i="102"/>
  <c r="U35" i="102"/>
  <c r="T35" i="102"/>
  <c r="P35" i="102"/>
  <c r="Q35" i="102" s="1"/>
  <c r="K35" i="102"/>
  <c r="U34" i="102"/>
  <c r="T34" i="102"/>
  <c r="P34" i="102"/>
  <c r="Q34" i="102" s="1"/>
  <c r="K34" i="102"/>
  <c r="U33" i="102"/>
  <c r="T33" i="102"/>
  <c r="V33" i="102" s="1"/>
  <c r="P33" i="102"/>
  <c r="Q33" i="102" s="1"/>
  <c r="R33" i="102" s="1"/>
  <c r="K33" i="102"/>
  <c r="U32" i="102"/>
  <c r="T32" i="102"/>
  <c r="P32" i="102"/>
  <c r="Q32" i="102" s="1"/>
  <c r="K32" i="102"/>
  <c r="U31" i="102"/>
  <c r="T31" i="102"/>
  <c r="P31" i="102"/>
  <c r="Q31" i="102" s="1"/>
  <c r="K31" i="102"/>
  <c r="U30" i="102"/>
  <c r="T30" i="102"/>
  <c r="P30" i="102"/>
  <c r="Q30" i="102" s="1"/>
  <c r="K30" i="102"/>
  <c r="S27" i="102"/>
  <c r="O27" i="102"/>
  <c r="N27" i="102"/>
  <c r="M27" i="102"/>
  <c r="L27" i="102"/>
  <c r="J27" i="102"/>
  <c r="I27" i="102"/>
  <c r="G27" i="102"/>
  <c r="E27" i="102"/>
  <c r="U26" i="102"/>
  <c r="T26" i="102"/>
  <c r="P26" i="102"/>
  <c r="Q26" i="102" s="1"/>
  <c r="K26" i="102"/>
  <c r="U25" i="102"/>
  <c r="T25" i="102"/>
  <c r="P25" i="102"/>
  <c r="Q25" i="102" s="1"/>
  <c r="K25" i="102"/>
  <c r="U24" i="102"/>
  <c r="T24" i="102"/>
  <c r="V24" i="102" s="1"/>
  <c r="P24" i="102"/>
  <c r="Q24" i="102" s="1"/>
  <c r="K24" i="102"/>
  <c r="U23" i="102"/>
  <c r="T23" i="102"/>
  <c r="V23" i="102" s="1"/>
  <c r="P23" i="102"/>
  <c r="Q23" i="102" s="1"/>
  <c r="K23" i="102"/>
  <c r="S20" i="102"/>
  <c r="O20" i="102"/>
  <c r="N20" i="102"/>
  <c r="M20" i="102"/>
  <c r="L20" i="102"/>
  <c r="J20" i="102"/>
  <c r="I20" i="102"/>
  <c r="G20" i="102"/>
  <c r="E20" i="102"/>
  <c r="U19" i="102"/>
  <c r="T19" i="102"/>
  <c r="P19" i="102"/>
  <c r="Q19" i="102" s="1"/>
  <c r="K19" i="102"/>
  <c r="U18" i="102"/>
  <c r="V18" i="102" s="1"/>
  <c r="T18" i="102"/>
  <c r="P18" i="102"/>
  <c r="Q18" i="102" s="1"/>
  <c r="K18" i="102"/>
  <c r="U17" i="102"/>
  <c r="T17" i="102"/>
  <c r="P17" i="102"/>
  <c r="Q17" i="102" s="1"/>
  <c r="K17" i="102"/>
  <c r="U16" i="102"/>
  <c r="T16" i="102"/>
  <c r="P16" i="102"/>
  <c r="Q16" i="102" s="1"/>
  <c r="K16" i="102"/>
  <c r="V15" i="102"/>
  <c r="U15" i="102"/>
  <c r="T15" i="102"/>
  <c r="P15" i="102"/>
  <c r="Q15" i="102" s="1"/>
  <c r="K15" i="102"/>
  <c r="U14" i="102"/>
  <c r="T14" i="102"/>
  <c r="P14" i="102"/>
  <c r="Q14" i="102" s="1"/>
  <c r="K14" i="102"/>
  <c r="U13" i="102"/>
  <c r="T13" i="102"/>
  <c r="V13" i="102" s="1"/>
  <c r="P13" i="102"/>
  <c r="Q13" i="102" s="1"/>
  <c r="K13" i="102"/>
  <c r="U12" i="102"/>
  <c r="T12" i="102"/>
  <c r="V12" i="102" s="1"/>
  <c r="P12" i="102"/>
  <c r="Q12" i="102" s="1"/>
  <c r="K12" i="102"/>
  <c r="S9" i="102"/>
  <c r="O9" i="102"/>
  <c r="N9" i="102"/>
  <c r="M9" i="102"/>
  <c r="L9" i="102"/>
  <c r="J9" i="102"/>
  <c r="I9" i="102"/>
  <c r="G9" i="102"/>
  <c r="E9" i="102"/>
  <c r="U8" i="102"/>
  <c r="T8" i="102"/>
  <c r="V8" i="102" s="1"/>
  <c r="P8" i="102"/>
  <c r="Q8" i="102" s="1"/>
  <c r="K8" i="102"/>
  <c r="U7" i="102"/>
  <c r="U9" i="102" s="1"/>
  <c r="T7" i="102"/>
  <c r="T9" i="102" s="1"/>
  <c r="P7" i="102"/>
  <c r="Q7" i="102" s="1"/>
  <c r="K7" i="102"/>
  <c r="K9" i="102" s="1"/>
  <c r="R19" i="102" l="1"/>
  <c r="V61" i="103"/>
  <c r="R8" i="102"/>
  <c r="R36" i="102"/>
  <c r="R52" i="102"/>
  <c r="J61" i="102"/>
  <c r="N61" i="102"/>
  <c r="R15" i="102"/>
  <c r="V25" i="102"/>
  <c r="V26" i="102"/>
  <c r="V30" i="102"/>
  <c r="R39" i="102"/>
  <c r="R41" i="102"/>
  <c r="R49" i="102"/>
  <c r="R51" i="102"/>
  <c r="V57" i="102"/>
  <c r="V58" i="102" s="1"/>
  <c r="R61" i="103"/>
  <c r="R40" i="102"/>
  <c r="V19" i="102"/>
  <c r="R26" i="102"/>
  <c r="V36" i="102"/>
  <c r="V40" i="102"/>
  <c r="T45" i="102"/>
  <c r="V39" i="102"/>
  <c r="G61" i="102"/>
  <c r="L61" i="102"/>
  <c r="U20" i="102"/>
  <c r="V14" i="102"/>
  <c r="R16" i="102"/>
  <c r="U45" i="102"/>
  <c r="V32" i="102"/>
  <c r="R34" i="102"/>
  <c r="R53" i="102"/>
  <c r="E61" i="102"/>
  <c r="M61" i="102"/>
  <c r="V16" i="102"/>
  <c r="V17" i="102"/>
  <c r="U27" i="102"/>
  <c r="K45" i="102"/>
  <c r="V34" i="102"/>
  <c r="V35" i="102"/>
  <c r="K54" i="102"/>
  <c r="R14" i="102"/>
  <c r="R13" i="102"/>
  <c r="Q9" i="102"/>
  <c r="R7" i="102"/>
  <c r="R50" i="102"/>
  <c r="O61" i="102"/>
  <c r="R42" i="102"/>
  <c r="R35" i="102"/>
  <c r="R32" i="102"/>
  <c r="R31" i="102"/>
  <c r="R24" i="102"/>
  <c r="R25" i="102"/>
  <c r="R43" i="102"/>
  <c r="K27" i="102"/>
  <c r="I61" i="102"/>
  <c r="K20" i="102"/>
  <c r="S61" i="102"/>
  <c r="R30" i="102"/>
  <c r="Q45" i="102"/>
  <c r="R17" i="102"/>
  <c r="R18" i="102"/>
  <c r="Q27" i="102"/>
  <c r="R23" i="102"/>
  <c r="Q20" i="102"/>
  <c r="R12" i="102"/>
  <c r="U61" i="102"/>
  <c r="R38" i="102"/>
  <c r="R57" i="102"/>
  <c r="R58" i="102" s="1"/>
  <c r="P45" i="102"/>
  <c r="Q48" i="102"/>
  <c r="V48" i="102"/>
  <c r="V54" i="102" s="1"/>
  <c r="P58" i="102"/>
  <c r="T58" i="102"/>
  <c r="V7" i="102"/>
  <c r="V9" i="102" s="1"/>
  <c r="P9" i="102"/>
  <c r="P20" i="102"/>
  <c r="T20" i="102"/>
  <c r="P27" i="102"/>
  <c r="T27" i="102"/>
  <c r="V31" i="102"/>
  <c r="S58" i="101"/>
  <c r="O58" i="101"/>
  <c r="N58" i="101"/>
  <c r="M58" i="101"/>
  <c r="L58" i="101"/>
  <c r="J58" i="101"/>
  <c r="I58" i="101"/>
  <c r="G58" i="101"/>
  <c r="E58" i="101"/>
  <c r="U57" i="101"/>
  <c r="U58" i="101" s="1"/>
  <c r="T57" i="101"/>
  <c r="P57" i="101"/>
  <c r="Q57" i="101" s="1"/>
  <c r="Q58" i="101" s="1"/>
  <c r="K57" i="101"/>
  <c r="K58" i="101" s="1"/>
  <c r="S54" i="101"/>
  <c r="O54" i="101"/>
  <c r="N54" i="101"/>
  <c r="M54" i="101"/>
  <c r="L54" i="101"/>
  <c r="J54" i="101"/>
  <c r="I54" i="101"/>
  <c r="H54" i="101"/>
  <c r="G54" i="101"/>
  <c r="E54" i="101"/>
  <c r="V53" i="101"/>
  <c r="Q53" i="101"/>
  <c r="K53" i="101"/>
  <c r="V52" i="101"/>
  <c r="Q52" i="101"/>
  <c r="K52" i="101"/>
  <c r="V51" i="101"/>
  <c r="Q51" i="101"/>
  <c r="K51" i="101"/>
  <c r="U50" i="101"/>
  <c r="T50" i="101"/>
  <c r="P50" i="101"/>
  <c r="Q50" i="101" s="1"/>
  <c r="K50" i="101"/>
  <c r="U49" i="101"/>
  <c r="T49" i="101"/>
  <c r="P49" i="101"/>
  <c r="Q49" i="101" s="1"/>
  <c r="K49" i="101"/>
  <c r="U48" i="101"/>
  <c r="V48" i="101" s="1"/>
  <c r="T48" i="101"/>
  <c r="P48" i="101"/>
  <c r="Q48" i="101" s="1"/>
  <c r="K48" i="101"/>
  <c r="S45" i="101"/>
  <c r="O45" i="101"/>
  <c r="N45" i="101"/>
  <c r="M45" i="101"/>
  <c r="L45" i="101"/>
  <c r="J45" i="101"/>
  <c r="I45" i="101"/>
  <c r="H45" i="101"/>
  <c r="G45" i="101"/>
  <c r="F45" i="101"/>
  <c r="E45" i="101"/>
  <c r="V44" i="101"/>
  <c r="Q44" i="101"/>
  <c r="K44" i="101"/>
  <c r="V43" i="101"/>
  <c r="Q43" i="101"/>
  <c r="K43" i="101"/>
  <c r="V42" i="101"/>
  <c r="Q42" i="101"/>
  <c r="K42" i="101"/>
  <c r="V41" i="101"/>
  <c r="Q41" i="101"/>
  <c r="K41" i="101"/>
  <c r="U40" i="101"/>
  <c r="T40" i="101"/>
  <c r="P40" i="101"/>
  <c r="Q40" i="101" s="1"/>
  <c r="K40" i="101"/>
  <c r="U39" i="101"/>
  <c r="T39" i="101"/>
  <c r="P39" i="101"/>
  <c r="Q39" i="101" s="1"/>
  <c r="R39" i="101" s="1"/>
  <c r="K39" i="101"/>
  <c r="U38" i="101"/>
  <c r="V38" i="101" s="1"/>
  <c r="T38" i="101"/>
  <c r="P38" i="101"/>
  <c r="Q38" i="101" s="1"/>
  <c r="K38" i="101"/>
  <c r="U37" i="101"/>
  <c r="T37" i="101"/>
  <c r="P37" i="101"/>
  <c r="K37" i="101"/>
  <c r="R37" i="101" s="1"/>
  <c r="U36" i="101"/>
  <c r="T36" i="101"/>
  <c r="P36" i="101"/>
  <c r="Q36" i="101" s="1"/>
  <c r="K36" i="101"/>
  <c r="U35" i="101"/>
  <c r="V35" i="101" s="1"/>
  <c r="T35" i="101"/>
  <c r="P35" i="101"/>
  <c r="Q35" i="101" s="1"/>
  <c r="K35" i="101"/>
  <c r="U34" i="101"/>
  <c r="T34" i="101"/>
  <c r="P34" i="101"/>
  <c r="Q34" i="101" s="1"/>
  <c r="K34" i="101"/>
  <c r="U33" i="101"/>
  <c r="T33" i="101"/>
  <c r="P33" i="101"/>
  <c r="Q33" i="101" s="1"/>
  <c r="K33" i="101"/>
  <c r="U32" i="101"/>
  <c r="T32" i="101"/>
  <c r="P32" i="101"/>
  <c r="Q32" i="101" s="1"/>
  <c r="K32" i="101"/>
  <c r="U31" i="101"/>
  <c r="T31" i="101"/>
  <c r="P31" i="101"/>
  <c r="Q31" i="101" s="1"/>
  <c r="K31" i="101"/>
  <c r="U30" i="101"/>
  <c r="T30" i="101"/>
  <c r="P30" i="101"/>
  <c r="Q30" i="101" s="1"/>
  <c r="K30" i="101"/>
  <c r="S27" i="101"/>
  <c r="O27" i="101"/>
  <c r="N27" i="101"/>
  <c r="M27" i="101"/>
  <c r="L27" i="101"/>
  <c r="J27" i="101"/>
  <c r="I27" i="101"/>
  <c r="G27" i="101"/>
  <c r="E27" i="101"/>
  <c r="U26" i="101"/>
  <c r="T26" i="101"/>
  <c r="P26" i="101"/>
  <c r="Q26" i="101" s="1"/>
  <c r="K26" i="101"/>
  <c r="U25" i="101"/>
  <c r="T25" i="101"/>
  <c r="P25" i="101"/>
  <c r="Q25" i="101" s="1"/>
  <c r="K25" i="101"/>
  <c r="U24" i="101"/>
  <c r="T24" i="101"/>
  <c r="P24" i="101"/>
  <c r="Q24" i="101" s="1"/>
  <c r="K24" i="101"/>
  <c r="U23" i="101"/>
  <c r="T23" i="101"/>
  <c r="V23" i="101" s="1"/>
  <c r="P23" i="101"/>
  <c r="Q23" i="101" s="1"/>
  <c r="K23" i="101"/>
  <c r="S20" i="101"/>
  <c r="O20" i="101"/>
  <c r="N20" i="101"/>
  <c r="M20" i="101"/>
  <c r="L20" i="101"/>
  <c r="J20" i="101"/>
  <c r="I20" i="101"/>
  <c r="G20" i="101"/>
  <c r="E20" i="101"/>
  <c r="U19" i="101"/>
  <c r="T19" i="101"/>
  <c r="P19" i="101"/>
  <c r="Q19" i="101" s="1"/>
  <c r="K19" i="101"/>
  <c r="U18" i="101"/>
  <c r="T18" i="101"/>
  <c r="P18" i="101"/>
  <c r="Q18" i="101" s="1"/>
  <c r="R18" i="101" s="1"/>
  <c r="K18" i="101"/>
  <c r="U17" i="101"/>
  <c r="T17" i="101"/>
  <c r="Q17" i="101"/>
  <c r="P17" i="101"/>
  <c r="K17" i="101"/>
  <c r="U16" i="101"/>
  <c r="T16" i="101"/>
  <c r="P16" i="101"/>
  <c r="Q16" i="101" s="1"/>
  <c r="K16" i="101"/>
  <c r="U15" i="101"/>
  <c r="T15" i="101"/>
  <c r="P15" i="101"/>
  <c r="Q15" i="101" s="1"/>
  <c r="K15" i="101"/>
  <c r="U14" i="101"/>
  <c r="T14" i="101"/>
  <c r="P14" i="101"/>
  <c r="Q14" i="101" s="1"/>
  <c r="K14" i="101"/>
  <c r="U13" i="101"/>
  <c r="T13" i="101"/>
  <c r="P13" i="101"/>
  <c r="Q13" i="101" s="1"/>
  <c r="K13" i="101"/>
  <c r="U12" i="101"/>
  <c r="T12" i="101"/>
  <c r="P12" i="101"/>
  <c r="Q12" i="101" s="1"/>
  <c r="K12" i="101"/>
  <c r="S9" i="101"/>
  <c r="O9" i="101"/>
  <c r="N9" i="101"/>
  <c r="M9" i="101"/>
  <c r="L9" i="101"/>
  <c r="L61" i="101" s="1"/>
  <c r="J9" i="101"/>
  <c r="I9" i="101"/>
  <c r="G9" i="101"/>
  <c r="E9" i="101"/>
  <c r="E61" i="101" s="1"/>
  <c r="U8" i="101"/>
  <c r="T8" i="101"/>
  <c r="P8" i="101"/>
  <c r="Q8" i="101" s="1"/>
  <c r="K8" i="101"/>
  <c r="U7" i="101"/>
  <c r="U9" i="101" s="1"/>
  <c r="T7" i="101"/>
  <c r="P7" i="101"/>
  <c r="P9" i="101" s="1"/>
  <c r="K7" i="101"/>
  <c r="R53" i="101" l="1"/>
  <c r="R13" i="101"/>
  <c r="R32" i="101"/>
  <c r="R35" i="101"/>
  <c r="R9" i="102"/>
  <c r="K61" i="102"/>
  <c r="V13" i="101"/>
  <c r="V14" i="101"/>
  <c r="V16" i="101"/>
  <c r="R17" i="101"/>
  <c r="V30" i="101"/>
  <c r="V31" i="101"/>
  <c r="V36" i="101"/>
  <c r="V37" i="101"/>
  <c r="R44" i="101"/>
  <c r="V57" i="101"/>
  <c r="V58" i="101" s="1"/>
  <c r="V20" i="102"/>
  <c r="V27" i="102"/>
  <c r="V17" i="101"/>
  <c r="R25" i="101"/>
  <c r="V32" i="101"/>
  <c r="V33" i="101"/>
  <c r="V34" i="101"/>
  <c r="R36" i="101"/>
  <c r="R38" i="101"/>
  <c r="R50" i="101"/>
  <c r="V45" i="102"/>
  <c r="V61" i="102" s="1"/>
  <c r="R20" i="102"/>
  <c r="R24" i="101"/>
  <c r="V12" i="101"/>
  <c r="U27" i="101"/>
  <c r="V24" i="101"/>
  <c r="V25" i="101"/>
  <c r="V26" i="101"/>
  <c r="V39" i="101"/>
  <c r="V40" i="101"/>
  <c r="R43" i="101"/>
  <c r="R14" i="101"/>
  <c r="T20" i="101"/>
  <c r="Q7" i="101"/>
  <c r="Q9" i="101" s="1"/>
  <c r="S61" i="101"/>
  <c r="V7" i="101"/>
  <c r="T9" i="101"/>
  <c r="N61" i="101"/>
  <c r="K20" i="101"/>
  <c r="R15" i="101"/>
  <c r="R16" i="101"/>
  <c r="K27" i="101"/>
  <c r="U45" i="101"/>
  <c r="P61" i="102"/>
  <c r="R45" i="102"/>
  <c r="M61" i="101"/>
  <c r="U20" i="101"/>
  <c r="R52" i="101"/>
  <c r="K9" i="101"/>
  <c r="J61" i="101"/>
  <c r="V18" i="101"/>
  <c r="V19" i="101"/>
  <c r="Q27" i="101"/>
  <c r="K45" i="101"/>
  <c r="R31" i="101"/>
  <c r="U54" i="101"/>
  <c r="T54" i="101"/>
  <c r="V50" i="101"/>
  <c r="R27" i="102"/>
  <c r="Q54" i="102"/>
  <c r="Q61" i="102" s="1"/>
  <c r="R48" i="102"/>
  <c r="R54" i="102" s="1"/>
  <c r="T61" i="102"/>
  <c r="R19" i="101"/>
  <c r="Q20" i="101"/>
  <c r="R8" i="101"/>
  <c r="R51" i="101"/>
  <c r="Q54" i="101"/>
  <c r="R49" i="101"/>
  <c r="R42" i="101"/>
  <c r="R48" i="101"/>
  <c r="R41" i="101"/>
  <c r="O61" i="101"/>
  <c r="K54" i="101"/>
  <c r="I61" i="101"/>
  <c r="G61" i="101"/>
  <c r="Q45" i="101"/>
  <c r="R33" i="101"/>
  <c r="R34" i="101"/>
  <c r="R26" i="101"/>
  <c r="R40" i="101"/>
  <c r="P20" i="101"/>
  <c r="T27" i="101"/>
  <c r="V8" i="101"/>
  <c r="V9" i="101" s="1"/>
  <c r="R12" i="101"/>
  <c r="R20" i="101" s="1"/>
  <c r="V15" i="101"/>
  <c r="R23" i="101"/>
  <c r="R30" i="101"/>
  <c r="P45" i="101"/>
  <c r="T45" i="101"/>
  <c r="V49" i="101"/>
  <c r="R57" i="101"/>
  <c r="R58" i="101" s="1"/>
  <c r="P27" i="101"/>
  <c r="P58" i="101"/>
  <c r="T58" i="101"/>
  <c r="P54" i="101"/>
  <c r="S58" i="100"/>
  <c r="S54" i="100"/>
  <c r="S45" i="100"/>
  <c r="S27" i="100"/>
  <c r="S20" i="100"/>
  <c r="S9" i="100"/>
  <c r="T61" i="101" l="1"/>
  <c r="R54" i="101"/>
  <c r="V27" i="101"/>
  <c r="V20" i="101"/>
  <c r="V45" i="101"/>
  <c r="R7" i="101"/>
  <c r="R9" i="101" s="1"/>
  <c r="R61" i="102"/>
  <c r="K61" i="101"/>
  <c r="V54" i="101"/>
  <c r="U61" i="101"/>
  <c r="V61" i="101"/>
  <c r="P61" i="101"/>
  <c r="Q61" i="101"/>
  <c r="R45" i="101"/>
  <c r="R27" i="101"/>
  <c r="S61" i="100"/>
  <c r="R61" i="101" l="1"/>
  <c r="O58" i="100"/>
  <c r="N58" i="100"/>
  <c r="M58" i="100"/>
  <c r="L58" i="100"/>
  <c r="J58" i="100"/>
  <c r="I58" i="100"/>
  <c r="G58" i="100"/>
  <c r="E58" i="100"/>
  <c r="U57" i="100"/>
  <c r="U58" i="100" s="1"/>
  <c r="T57" i="100"/>
  <c r="P57" i="100"/>
  <c r="Q57" i="100" s="1"/>
  <c r="Q58" i="100" s="1"/>
  <c r="K57" i="100"/>
  <c r="K58" i="100" s="1"/>
  <c r="O54" i="100"/>
  <c r="N54" i="100"/>
  <c r="M54" i="100"/>
  <c r="L54" i="100"/>
  <c r="J54" i="100"/>
  <c r="I54" i="100"/>
  <c r="H54" i="100"/>
  <c r="G54" i="100"/>
  <c r="E54" i="100"/>
  <c r="V53" i="100"/>
  <c r="Q53" i="100"/>
  <c r="R53" i="100" s="1"/>
  <c r="K53" i="100"/>
  <c r="V52" i="100"/>
  <c r="Q52" i="100"/>
  <c r="K52" i="100"/>
  <c r="V51" i="100"/>
  <c r="Q51" i="100"/>
  <c r="K51" i="100"/>
  <c r="U50" i="100"/>
  <c r="T50" i="100"/>
  <c r="P50" i="100"/>
  <c r="Q50" i="100" s="1"/>
  <c r="K50" i="100"/>
  <c r="U49" i="100"/>
  <c r="T49" i="100"/>
  <c r="P49" i="100"/>
  <c r="Q49" i="100" s="1"/>
  <c r="K49" i="100"/>
  <c r="V48" i="100"/>
  <c r="U48" i="100"/>
  <c r="T48" i="100"/>
  <c r="P48" i="100"/>
  <c r="Q48" i="100" s="1"/>
  <c r="K48" i="100"/>
  <c r="O45" i="100"/>
  <c r="N45" i="100"/>
  <c r="M45" i="100"/>
  <c r="L45" i="100"/>
  <c r="J45" i="100"/>
  <c r="I45" i="100"/>
  <c r="H45" i="100"/>
  <c r="G45" i="100"/>
  <c r="F45" i="100"/>
  <c r="E45" i="100"/>
  <c r="V44" i="100"/>
  <c r="Q44" i="100"/>
  <c r="K44" i="100"/>
  <c r="V43" i="100"/>
  <c r="Q43" i="100"/>
  <c r="K43" i="100"/>
  <c r="V42" i="100"/>
  <c r="Q42" i="100"/>
  <c r="K42" i="100"/>
  <c r="V41" i="100"/>
  <c r="Q41" i="100"/>
  <c r="K41" i="100"/>
  <c r="U40" i="100"/>
  <c r="T40" i="100"/>
  <c r="P40" i="100"/>
  <c r="Q40" i="100" s="1"/>
  <c r="K40" i="100"/>
  <c r="U39" i="100"/>
  <c r="T39" i="100"/>
  <c r="V39" i="100" s="1"/>
  <c r="P39" i="100"/>
  <c r="Q39" i="100" s="1"/>
  <c r="R39" i="100" s="1"/>
  <c r="K39" i="100"/>
  <c r="U38" i="100"/>
  <c r="T38" i="100"/>
  <c r="P38" i="100"/>
  <c r="Q38" i="100" s="1"/>
  <c r="R38" i="100" s="1"/>
  <c r="K38" i="100"/>
  <c r="U37" i="100"/>
  <c r="T37" i="100"/>
  <c r="P37" i="100"/>
  <c r="K37" i="100"/>
  <c r="R37" i="100" s="1"/>
  <c r="U36" i="100"/>
  <c r="T36" i="100"/>
  <c r="P36" i="100"/>
  <c r="Q36" i="100" s="1"/>
  <c r="R36" i="100" s="1"/>
  <c r="K36" i="100"/>
  <c r="U35" i="100"/>
  <c r="T35" i="100"/>
  <c r="P35" i="100"/>
  <c r="Q35" i="100" s="1"/>
  <c r="K35" i="100"/>
  <c r="U34" i="100"/>
  <c r="T34" i="100"/>
  <c r="P34" i="100"/>
  <c r="Q34" i="100" s="1"/>
  <c r="K34" i="100"/>
  <c r="U33" i="100"/>
  <c r="T33" i="100"/>
  <c r="P33" i="100"/>
  <c r="Q33" i="100" s="1"/>
  <c r="R33" i="100" s="1"/>
  <c r="K33" i="100"/>
  <c r="U32" i="100"/>
  <c r="V32" i="100" s="1"/>
  <c r="T32" i="100"/>
  <c r="P32" i="100"/>
  <c r="Q32" i="100" s="1"/>
  <c r="K32" i="100"/>
  <c r="U31" i="100"/>
  <c r="T31" i="100"/>
  <c r="P31" i="100"/>
  <c r="Q31" i="100" s="1"/>
  <c r="K31" i="100"/>
  <c r="U30" i="100"/>
  <c r="T30" i="100"/>
  <c r="P30" i="100"/>
  <c r="K30" i="100"/>
  <c r="O27" i="100"/>
  <c r="N27" i="100"/>
  <c r="M27" i="100"/>
  <c r="L27" i="100"/>
  <c r="J27" i="100"/>
  <c r="I27" i="100"/>
  <c r="G27" i="100"/>
  <c r="E27" i="100"/>
  <c r="U26" i="100"/>
  <c r="T26" i="100"/>
  <c r="P26" i="100"/>
  <c r="Q26" i="100" s="1"/>
  <c r="K26" i="100"/>
  <c r="U25" i="100"/>
  <c r="T25" i="100"/>
  <c r="P25" i="100"/>
  <c r="Q25" i="100" s="1"/>
  <c r="K25" i="100"/>
  <c r="U24" i="100"/>
  <c r="T24" i="100"/>
  <c r="P24" i="100"/>
  <c r="Q24" i="100" s="1"/>
  <c r="K24" i="100"/>
  <c r="U23" i="100"/>
  <c r="U27" i="100" s="1"/>
  <c r="T23" i="100"/>
  <c r="P23" i="100"/>
  <c r="Q23" i="100" s="1"/>
  <c r="K23" i="100"/>
  <c r="O20" i="100"/>
  <c r="N20" i="100"/>
  <c r="M20" i="100"/>
  <c r="L20" i="100"/>
  <c r="J20" i="100"/>
  <c r="I20" i="100"/>
  <c r="G20" i="100"/>
  <c r="E20" i="100"/>
  <c r="U19" i="100"/>
  <c r="T19" i="100"/>
  <c r="P19" i="100"/>
  <c r="Q19" i="100" s="1"/>
  <c r="K19" i="100"/>
  <c r="U18" i="100"/>
  <c r="V18" i="100" s="1"/>
  <c r="T18" i="100"/>
  <c r="P18" i="100"/>
  <c r="Q18" i="100" s="1"/>
  <c r="K18" i="100"/>
  <c r="U17" i="100"/>
  <c r="V17" i="100" s="1"/>
  <c r="T17" i="100"/>
  <c r="P17" i="100"/>
  <c r="Q17" i="100" s="1"/>
  <c r="K17" i="100"/>
  <c r="U16" i="100"/>
  <c r="T16" i="100"/>
  <c r="P16" i="100"/>
  <c r="Q16" i="100" s="1"/>
  <c r="K16" i="100"/>
  <c r="U15" i="100"/>
  <c r="T15" i="100"/>
  <c r="P15" i="100"/>
  <c r="Q15" i="100" s="1"/>
  <c r="K15" i="100"/>
  <c r="U14" i="100"/>
  <c r="T14" i="100"/>
  <c r="P14" i="100"/>
  <c r="Q14" i="100" s="1"/>
  <c r="K14" i="100"/>
  <c r="U13" i="100"/>
  <c r="V13" i="100" s="1"/>
  <c r="T13" i="100"/>
  <c r="P13" i="100"/>
  <c r="Q13" i="100" s="1"/>
  <c r="K13" i="100"/>
  <c r="U12" i="100"/>
  <c r="U20" i="100" s="1"/>
  <c r="T12" i="100"/>
  <c r="P12" i="100"/>
  <c r="K12" i="100"/>
  <c r="O9" i="100"/>
  <c r="N9" i="100"/>
  <c r="N61" i="100" s="1"/>
  <c r="M9" i="100"/>
  <c r="L9" i="100"/>
  <c r="J9" i="100"/>
  <c r="I9" i="100"/>
  <c r="I61" i="100" s="1"/>
  <c r="G9" i="100"/>
  <c r="E9" i="100"/>
  <c r="U8" i="100"/>
  <c r="T8" i="100"/>
  <c r="P8" i="100"/>
  <c r="Q8" i="100" s="1"/>
  <c r="K8" i="100"/>
  <c r="U7" i="100"/>
  <c r="T7" i="100"/>
  <c r="P7" i="100"/>
  <c r="Q7" i="100" s="1"/>
  <c r="K7" i="100"/>
  <c r="K9" i="100" s="1"/>
  <c r="V38" i="100" l="1"/>
  <c r="R7" i="100"/>
  <c r="R8" i="100"/>
  <c r="R13" i="100"/>
  <c r="R14" i="100"/>
  <c r="R15" i="100"/>
  <c r="R17" i="100"/>
  <c r="R18" i="100"/>
  <c r="R49" i="100"/>
  <c r="V35" i="100"/>
  <c r="V25" i="100"/>
  <c r="V7" i="100"/>
  <c r="V9" i="100" s="1"/>
  <c r="V14" i="100"/>
  <c r="R19" i="100"/>
  <c r="R24" i="100"/>
  <c r="R25" i="100"/>
  <c r="R26" i="100"/>
  <c r="P45" i="100"/>
  <c r="R31" i="100"/>
  <c r="R32" i="100"/>
  <c r="V57" i="100"/>
  <c r="V58" i="100" s="1"/>
  <c r="E61" i="100"/>
  <c r="L61" i="100"/>
  <c r="V24" i="100"/>
  <c r="V36" i="100"/>
  <c r="R40" i="100"/>
  <c r="U9" i="100"/>
  <c r="V8" i="100"/>
  <c r="M61" i="100"/>
  <c r="V15" i="100"/>
  <c r="V16" i="100"/>
  <c r="V26" i="100"/>
  <c r="T45" i="100"/>
  <c r="V37" i="100"/>
  <c r="R50" i="100"/>
  <c r="R52" i="100"/>
  <c r="P9" i="100"/>
  <c r="J61" i="100"/>
  <c r="Q27" i="100"/>
  <c r="U45" i="100"/>
  <c r="P20" i="100"/>
  <c r="V12" i="100"/>
  <c r="V19" i="100"/>
  <c r="V23" i="100"/>
  <c r="V27" i="100" s="1"/>
  <c r="V33" i="100"/>
  <c r="V34" i="100"/>
  <c r="V40" i="100"/>
  <c r="U54" i="100"/>
  <c r="V49" i="100"/>
  <c r="V50" i="100"/>
  <c r="R9" i="100"/>
  <c r="Q54" i="100"/>
  <c r="R23" i="100"/>
  <c r="R44" i="100"/>
  <c r="R43" i="100"/>
  <c r="R42" i="100"/>
  <c r="O61" i="100"/>
  <c r="R41" i="100"/>
  <c r="R51" i="100"/>
  <c r="G61" i="100"/>
  <c r="R16" i="100"/>
  <c r="R34" i="100"/>
  <c r="R35" i="100"/>
  <c r="P58" i="100"/>
  <c r="T58" i="100"/>
  <c r="K27" i="100"/>
  <c r="T20" i="100"/>
  <c r="P27" i="100"/>
  <c r="T27" i="100"/>
  <c r="V31" i="100"/>
  <c r="R48" i="100"/>
  <c r="P54" i="100"/>
  <c r="T54" i="100"/>
  <c r="Q9" i="100"/>
  <c r="Q12" i="100"/>
  <c r="Q20" i="100" s="1"/>
  <c r="Q30" i="100"/>
  <c r="Q45" i="100" s="1"/>
  <c r="V30" i="100"/>
  <c r="K45" i="100"/>
  <c r="K20" i="100"/>
  <c r="K54" i="100"/>
  <c r="T9" i="100"/>
  <c r="R57" i="100"/>
  <c r="R58" i="100" s="1"/>
  <c r="N58" i="99"/>
  <c r="N54" i="99"/>
  <c r="N45" i="99"/>
  <c r="N27" i="99"/>
  <c r="N20" i="99"/>
  <c r="N9" i="99"/>
  <c r="G9" i="99"/>
  <c r="G20" i="99"/>
  <c r="G27" i="99"/>
  <c r="G45" i="99"/>
  <c r="G54" i="99"/>
  <c r="G58" i="99"/>
  <c r="E58" i="99"/>
  <c r="E9" i="99"/>
  <c r="E20" i="99"/>
  <c r="E27" i="99"/>
  <c r="E45" i="99"/>
  <c r="E54" i="99"/>
  <c r="S45" i="99"/>
  <c r="S27" i="99"/>
  <c r="S20" i="99"/>
  <c r="S58" i="99"/>
  <c r="S54" i="99"/>
  <c r="V41" i="99"/>
  <c r="Q41" i="99"/>
  <c r="K41" i="99"/>
  <c r="V54" i="100" l="1"/>
  <c r="R30" i="100"/>
  <c r="V20" i="100"/>
  <c r="V61" i="100" s="1"/>
  <c r="R27" i="100"/>
  <c r="V45" i="100"/>
  <c r="P61" i="100"/>
  <c r="U61" i="100"/>
  <c r="R54" i="100"/>
  <c r="K61" i="100"/>
  <c r="T61" i="100"/>
  <c r="R45" i="100"/>
  <c r="Q61" i="100"/>
  <c r="R12" i="100"/>
  <c r="R20" i="100" s="1"/>
  <c r="R41" i="99"/>
  <c r="R61" i="100" l="1"/>
  <c r="Q51" i="99"/>
  <c r="Q52" i="99"/>
  <c r="Q53" i="99"/>
  <c r="M54" i="99" l="1"/>
  <c r="I65" i="99"/>
  <c r="O45" i="99"/>
  <c r="V51" i="99"/>
  <c r="V52" i="99"/>
  <c r="V53" i="99"/>
  <c r="K51" i="99"/>
  <c r="R51" i="99" s="1"/>
  <c r="K52" i="99"/>
  <c r="R52" i="99" s="1"/>
  <c r="K53" i="99"/>
  <c r="H54" i="99"/>
  <c r="I54" i="99"/>
  <c r="J54" i="99"/>
  <c r="L54" i="99"/>
  <c r="O54" i="99"/>
  <c r="U50" i="99"/>
  <c r="T50" i="99"/>
  <c r="V50" i="99" s="1"/>
  <c r="P50" i="99"/>
  <c r="Q50" i="99" s="1"/>
  <c r="K50" i="99"/>
  <c r="R50" i="99" l="1"/>
  <c r="F45" i="99" l="1"/>
  <c r="H45" i="99"/>
  <c r="I45" i="99"/>
  <c r="J45" i="99"/>
  <c r="L45" i="99"/>
  <c r="M45" i="99"/>
  <c r="V44" i="99"/>
  <c r="Q44" i="99"/>
  <c r="K44" i="99"/>
  <c r="V43" i="99"/>
  <c r="Q43" i="99"/>
  <c r="K43" i="99"/>
  <c r="V42" i="99"/>
  <c r="Q42" i="99"/>
  <c r="K42" i="99"/>
  <c r="O58" i="99"/>
  <c r="M58" i="99"/>
  <c r="L58" i="99"/>
  <c r="J58" i="99"/>
  <c r="I58" i="99"/>
  <c r="U57" i="99"/>
  <c r="U58" i="99" s="1"/>
  <c r="T57" i="99"/>
  <c r="V57" i="99" s="1"/>
  <c r="V58" i="99" s="1"/>
  <c r="P57" i="99"/>
  <c r="Q57" i="99" s="1"/>
  <c r="K57" i="99"/>
  <c r="K58" i="99" s="1"/>
  <c r="U49" i="99"/>
  <c r="T49" i="99"/>
  <c r="V49" i="99" s="1"/>
  <c r="P49" i="99"/>
  <c r="Q49" i="99" s="1"/>
  <c r="K49" i="99"/>
  <c r="U48" i="99"/>
  <c r="U54" i="99" s="1"/>
  <c r="T48" i="99"/>
  <c r="T54" i="99" s="1"/>
  <c r="P48" i="99"/>
  <c r="P54" i="99" s="1"/>
  <c r="K48" i="99"/>
  <c r="K54" i="99" s="1"/>
  <c r="U40" i="99"/>
  <c r="T40" i="99"/>
  <c r="P40" i="99"/>
  <c r="Q40" i="99" s="1"/>
  <c r="K40" i="99"/>
  <c r="U39" i="99"/>
  <c r="T39" i="99"/>
  <c r="P39" i="99"/>
  <c r="Q39" i="99" s="1"/>
  <c r="K39" i="99"/>
  <c r="U38" i="99"/>
  <c r="T38" i="99"/>
  <c r="P38" i="99"/>
  <c r="Q38" i="99" s="1"/>
  <c r="K38" i="99"/>
  <c r="U37" i="99"/>
  <c r="T37" i="99"/>
  <c r="P37" i="99"/>
  <c r="K37" i="99"/>
  <c r="U36" i="99"/>
  <c r="T36" i="99"/>
  <c r="P36" i="99"/>
  <c r="Q36" i="99" s="1"/>
  <c r="K36" i="99"/>
  <c r="U35" i="99"/>
  <c r="T35" i="99"/>
  <c r="P35" i="99"/>
  <c r="Q35" i="99" s="1"/>
  <c r="K35" i="99"/>
  <c r="U34" i="99"/>
  <c r="T34" i="99"/>
  <c r="P34" i="99"/>
  <c r="Q34" i="99" s="1"/>
  <c r="K34" i="99"/>
  <c r="U33" i="99"/>
  <c r="T33" i="99"/>
  <c r="P33" i="99"/>
  <c r="K33" i="99"/>
  <c r="U32" i="99"/>
  <c r="T32" i="99"/>
  <c r="V32" i="99" s="1"/>
  <c r="P32" i="99"/>
  <c r="Q32" i="99" s="1"/>
  <c r="K32" i="99"/>
  <c r="U31" i="99"/>
  <c r="T31" i="99"/>
  <c r="P31" i="99"/>
  <c r="K31" i="99"/>
  <c r="U30" i="99"/>
  <c r="U45" i="99" s="1"/>
  <c r="T30" i="99"/>
  <c r="P30" i="99"/>
  <c r="Q30" i="99" s="1"/>
  <c r="K30" i="99"/>
  <c r="O27" i="99"/>
  <c r="M27" i="99"/>
  <c r="L27" i="99"/>
  <c r="J27" i="99"/>
  <c r="I27" i="99"/>
  <c r="U26" i="99"/>
  <c r="T26" i="99"/>
  <c r="P26" i="99"/>
  <c r="Q26" i="99" s="1"/>
  <c r="K26" i="99"/>
  <c r="U25" i="99"/>
  <c r="T25" i="99"/>
  <c r="P25" i="99"/>
  <c r="Q25" i="99" s="1"/>
  <c r="K25" i="99"/>
  <c r="U24" i="99"/>
  <c r="T24" i="99"/>
  <c r="P24" i="99"/>
  <c r="Q24" i="99" s="1"/>
  <c r="R24" i="99" s="1"/>
  <c r="K24" i="99"/>
  <c r="U23" i="99"/>
  <c r="T23" i="99"/>
  <c r="Q23" i="99"/>
  <c r="P23" i="99"/>
  <c r="K23" i="99"/>
  <c r="K27" i="99" s="1"/>
  <c r="O20" i="99"/>
  <c r="M20" i="99"/>
  <c r="L20" i="99"/>
  <c r="J20" i="99"/>
  <c r="I20" i="99"/>
  <c r="U19" i="99"/>
  <c r="T19" i="99"/>
  <c r="P19" i="99"/>
  <c r="Q19" i="99" s="1"/>
  <c r="K19" i="99"/>
  <c r="U18" i="99"/>
  <c r="T18" i="99"/>
  <c r="P18" i="99"/>
  <c r="Q18" i="99" s="1"/>
  <c r="K18" i="99"/>
  <c r="U17" i="99"/>
  <c r="T17" i="99"/>
  <c r="P17" i="99"/>
  <c r="Q17" i="99" s="1"/>
  <c r="K17" i="99"/>
  <c r="U16" i="99"/>
  <c r="T16" i="99"/>
  <c r="P16" i="99"/>
  <c r="Q16" i="99" s="1"/>
  <c r="K16" i="99"/>
  <c r="U15" i="99"/>
  <c r="T15" i="99"/>
  <c r="P15" i="99"/>
  <c r="Q15" i="99" s="1"/>
  <c r="K15" i="99"/>
  <c r="U14" i="99"/>
  <c r="T14" i="99"/>
  <c r="P14" i="99"/>
  <c r="Q14" i="99" s="1"/>
  <c r="K14" i="99"/>
  <c r="R14" i="99" s="1"/>
  <c r="U13" i="99"/>
  <c r="T13" i="99"/>
  <c r="P13" i="99"/>
  <c r="Q13" i="99" s="1"/>
  <c r="K13" i="99"/>
  <c r="U12" i="99"/>
  <c r="T12" i="99"/>
  <c r="P12" i="99"/>
  <c r="K12" i="99"/>
  <c r="S9" i="99"/>
  <c r="S61" i="99" s="1"/>
  <c r="O9" i="99"/>
  <c r="N61" i="99"/>
  <c r="M9" i="99"/>
  <c r="L9" i="99"/>
  <c r="J9" i="99"/>
  <c r="I9" i="99"/>
  <c r="G61" i="99"/>
  <c r="U8" i="99"/>
  <c r="T8" i="99"/>
  <c r="P8" i="99"/>
  <c r="Q8" i="99" s="1"/>
  <c r="K8" i="99"/>
  <c r="U7" i="99"/>
  <c r="T7" i="99"/>
  <c r="T9" i="99" s="1"/>
  <c r="P7" i="99"/>
  <c r="P9" i="99" s="1"/>
  <c r="K7" i="99"/>
  <c r="K9" i="99" s="1"/>
  <c r="R17" i="99" l="1"/>
  <c r="R42" i="99"/>
  <c r="K20" i="99"/>
  <c r="J61" i="99"/>
  <c r="R16" i="99"/>
  <c r="V8" i="99"/>
  <c r="V12" i="99"/>
  <c r="P27" i="99"/>
  <c r="R49" i="99"/>
  <c r="R13" i="99"/>
  <c r="K45" i="99"/>
  <c r="K61" i="99" s="1"/>
  <c r="R8" i="99"/>
  <c r="R26" i="99"/>
  <c r="R25" i="99"/>
  <c r="O61" i="99"/>
  <c r="I61" i="99"/>
  <c r="R44" i="99"/>
  <c r="Q31" i="99"/>
  <c r="P45" i="99"/>
  <c r="R39" i="99"/>
  <c r="V30" i="99"/>
  <c r="T45" i="99"/>
  <c r="V34" i="99"/>
  <c r="V35" i="99"/>
  <c r="V36" i="99"/>
  <c r="V38" i="99"/>
  <c r="R43" i="99"/>
  <c r="R38" i="99"/>
  <c r="M61" i="99"/>
  <c r="R53" i="99"/>
  <c r="R32" i="99"/>
  <c r="E61" i="99"/>
  <c r="L61" i="99"/>
  <c r="V16" i="99"/>
  <c r="R18" i="99"/>
  <c r="R19" i="99"/>
  <c r="R15" i="99"/>
  <c r="V19" i="99"/>
  <c r="Q27" i="99"/>
  <c r="R34" i="99"/>
  <c r="R35" i="99"/>
  <c r="R37" i="99"/>
  <c r="R40" i="99"/>
  <c r="T20" i="99"/>
  <c r="V24" i="99"/>
  <c r="V25" i="99"/>
  <c r="V33" i="99"/>
  <c r="T27" i="99"/>
  <c r="P20" i="99"/>
  <c r="V37" i="99"/>
  <c r="U20" i="99"/>
  <c r="U27" i="99"/>
  <c r="Q12" i="99"/>
  <c r="R12" i="99" s="1"/>
  <c r="V13" i="99"/>
  <c r="V14" i="99"/>
  <c r="V17" i="99"/>
  <c r="V18" i="99"/>
  <c r="V23" i="99"/>
  <c r="V31" i="99"/>
  <c r="V39" i="99"/>
  <c r="V40" i="99"/>
  <c r="R36" i="99"/>
  <c r="Q58" i="99"/>
  <c r="R57" i="99"/>
  <c r="R58" i="99" s="1"/>
  <c r="V15" i="99"/>
  <c r="R23" i="99"/>
  <c r="R27" i="99" s="1"/>
  <c r="V26" i="99"/>
  <c r="R30" i="99"/>
  <c r="Q33" i="99"/>
  <c r="Q48" i="99"/>
  <c r="Q54" i="99" s="1"/>
  <c r="V48" i="99"/>
  <c r="V54" i="99" s="1"/>
  <c r="P58" i="99"/>
  <c r="T58" i="99"/>
  <c r="U9" i="99"/>
  <c r="Q7" i="99"/>
  <c r="Q9" i="99" s="1"/>
  <c r="V7" i="99"/>
  <c r="P14" i="98"/>
  <c r="T14" i="98"/>
  <c r="V9" i="99" l="1"/>
  <c r="Q45" i="99"/>
  <c r="R45" i="99"/>
  <c r="R20" i="99"/>
  <c r="R31" i="99"/>
  <c r="V45" i="99"/>
  <c r="V27" i="99"/>
  <c r="P61" i="99"/>
  <c r="Q20" i="99"/>
  <c r="U61" i="99"/>
  <c r="T61" i="99"/>
  <c r="V20" i="99"/>
  <c r="R33" i="99"/>
  <c r="R48" i="99"/>
  <c r="R54" i="99" s="1"/>
  <c r="R7" i="99"/>
  <c r="R9" i="99" s="1"/>
  <c r="S51" i="98"/>
  <c r="O51" i="98"/>
  <c r="N51" i="98"/>
  <c r="M51" i="98"/>
  <c r="L51" i="98"/>
  <c r="J51" i="98"/>
  <c r="I51" i="98"/>
  <c r="G51" i="98"/>
  <c r="E51" i="98"/>
  <c r="U50" i="98"/>
  <c r="U51" i="98" s="1"/>
  <c r="T50" i="98"/>
  <c r="P50" i="98"/>
  <c r="Q50" i="98" s="1"/>
  <c r="Q51" i="98" s="1"/>
  <c r="K50" i="98"/>
  <c r="K51" i="98" s="1"/>
  <c r="S47" i="98"/>
  <c r="O47" i="98"/>
  <c r="N47" i="98"/>
  <c r="M47" i="98"/>
  <c r="L47" i="98"/>
  <c r="J47" i="98"/>
  <c r="I47" i="98"/>
  <c r="H47" i="98"/>
  <c r="G47" i="98"/>
  <c r="E47" i="98"/>
  <c r="U46" i="98"/>
  <c r="T46" i="98"/>
  <c r="P46" i="98"/>
  <c r="Q46" i="98" s="1"/>
  <c r="K46" i="98"/>
  <c r="U45" i="98"/>
  <c r="T45" i="98"/>
  <c r="V45" i="98" s="1"/>
  <c r="P45" i="98"/>
  <c r="Q45" i="98" s="1"/>
  <c r="R45" i="98" s="1"/>
  <c r="K45" i="98"/>
  <c r="U44" i="98"/>
  <c r="T44" i="98"/>
  <c r="P44" i="98"/>
  <c r="K44" i="98"/>
  <c r="S41" i="98"/>
  <c r="O41" i="98"/>
  <c r="N41" i="98"/>
  <c r="M41" i="98"/>
  <c r="L41" i="98"/>
  <c r="J41" i="98"/>
  <c r="I41" i="98"/>
  <c r="G41" i="98"/>
  <c r="E41" i="98"/>
  <c r="U40" i="98"/>
  <c r="T40" i="98"/>
  <c r="P40" i="98"/>
  <c r="Q40" i="98" s="1"/>
  <c r="K40" i="98"/>
  <c r="R40" i="98" s="1"/>
  <c r="U39" i="98"/>
  <c r="T39" i="98"/>
  <c r="P39" i="98"/>
  <c r="Q39" i="98" s="1"/>
  <c r="K39" i="98"/>
  <c r="U38" i="98"/>
  <c r="T38" i="98"/>
  <c r="P38" i="98"/>
  <c r="Q38" i="98" s="1"/>
  <c r="K38" i="98"/>
  <c r="U37" i="98"/>
  <c r="V37" i="98" s="1"/>
  <c r="T37" i="98"/>
  <c r="P37" i="98"/>
  <c r="Q37" i="98" s="1"/>
  <c r="K37" i="98"/>
  <c r="U36" i="98"/>
  <c r="T36" i="98"/>
  <c r="P36" i="98"/>
  <c r="Q36" i="98" s="1"/>
  <c r="K36" i="98"/>
  <c r="U35" i="98"/>
  <c r="T35" i="98"/>
  <c r="P35" i="98"/>
  <c r="Q35" i="98" s="1"/>
  <c r="K35" i="98"/>
  <c r="U34" i="98"/>
  <c r="T34" i="98"/>
  <c r="P34" i="98"/>
  <c r="Q34" i="98" s="1"/>
  <c r="K34" i="98"/>
  <c r="U33" i="98"/>
  <c r="T33" i="98"/>
  <c r="P33" i="98"/>
  <c r="Q33" i="98" s="1"/>
  <c r="K33" i="98"/>
  <c r="U32" i="98"/>
  <c r="T32" i="98"/>
  <c r="P32" i="98"/>
  <c r="Q32" i="98" s="1"/>
  <c r="K32" i="98"/>
  <c r="U31" i="98"/>
  <c r="T31" i="98"/>
  <c r="P31" i="98"/>
  <c r="Q31" i="98" s="1"/>
  <c r="K31" i="98"/>
  <c r="U30" i="98"/>
  <c r="T30" i="98"/>
  <c r="T41" i="98" s="1"/>
  <c r="P30" i="98"/>
  <c r="K30" i="98"/>
  <c r="S27" i="98"/>
  <c r="O27" i="98"/>
  <c r="N27" i="98"/>
  <c r="M27" i="98"/>
  <c r="L27" i="98"/>
  <c r="J27" i="98"/>
  <c r="I27" i="98"/>
  <c r="G27" i="98"/>
  <c r="E27" i="98"/>
  <c r="U26" i="98"/>
  <c r="T26" i="98"/>
  <c r="P26" i="98"/>
  <c r="Q26" i="98" s="1"/>
  <c r="K26" i="98"/>
  <c r="U25" i="98"/>
  <c r="T25" i="98"/>
  <c r="P25" i="98"/>
  <c r="Q25" i="98" s="1"/>
  <c r="K25" i="98"/>
  <c r="U24" i="98"/>
  <c r="T24" i="98"/>
  <c r="P24" i="98"/>
  <c r="Q24" i="98" s="1"/>
  <c r="K24" i="98"/>
  <c r="U23" i="98"/>
  <c r="T23" i="98"/>
  <c r="T27" i="98" s="1"/>
  <c r="P23" i="98"/>
  <c r="K23" i="98"/>
  <c r="S20" i="98"/>
  <c r="O20" i="98"/>
  <c r="N20" i="98"/>
  <c r="M20" i="98"/>
  <c r="L20" i="98"/>
  <c r="J20" i="98"/>
  <c r="I20" i="98"/>
  <c r="G20" i="98"/>
  <c r="E20" i="98"/>
  <c r="U19" i="98"/>
  <c r="T19" i="98"/>
  <c r="P19" i="98"/>
  <c r="Q19" i="98" s="1"/>
  <c r="K19" i="98"/>
  <c r="U18" i="98"/>
  <c r="T18" i="98"/>
  <c r="V18" i="98" s="1"/>
  <c r="P18" i="98"/>
  <c r="Q18" i="98" s="1"/>
  <c r="K18" i="98"/>
  <c r="U17" i="98"/>
  <c r="T17" i="98"/>
  <c r="V17" i="98" s="1"/>
  <c r="P17" i="98"/>
  <c r="Q17" i="98" s="1"/>
  <c r="K17" i="98"/>
  <c r="U16" i="98"/>
  <c r="T16" i="98"/>
  <c r="V16" i="98" s="1"/>
  <c r="P16" i="98"/>
  <c r="Q16" i="98" s="1"/>
  <c r="R16" i="98" s="1"/>
  <c r="K16" i="98"/>
  <c r="U15" i="98"/>
  <c r="T15" i="98"/>
  <c r="P15" i="98"/>
  <c r="Q15" i="98" s="1"/>
  <c r="K15" i="98"/>
  <c r="U14" i="98"/>
  <c r="V14" i="98" s="1"/>
  <c r="Q14" i="98"/>
  <c r="K14" i="98"/>
  <c r="U13" i="98"/>
  <c r="T13" i="98"/>
  <c r="P13" i="98"/>
  <c r="Q13" i="98" s="1"/>
  <c r="K13" i="98"/>
  <c r="U12" i="98"/>
  <c r="T12" i="98"/>
  <c r="V12" i="98" s="1"/>
  <c r="P12" i="98"/>
  <c r="K12" i="98"/>
  <c r="S9" i="98"/>
  <c r="O9" i="98"/>
  <c r="N9" i="98"/>
  <c r="M9" i="98"/>
  <c r="L9" i="98"/>
  <c r="J9" i="98"/>
  <c r="I9" i="98"/>
  <c r="G9" i="98"/>
  <c r="E9" i="98"/>
  <c r="U8" i="98"/>
  <c r="T8" i="98"/>
  <c r="P8" i="98"/>
  <c r="Q8" i="98" s="1"/>
  <c r="K8" i="98"/>
  <c r="U7" i="98"/>
  <c r="T7" i="98"/>
  <c r="T9" i="98" s="1"/>
  <c r="P7" i="98"/>
  <c r="P9" i="98" s="1"/>
  <c r="K7" i="98"/>
  <c r="R35" i="98" l="1"/>
  <c r="R38" i="98"/>
  <c r="R24" i="98"/>
  <c r="R18" i="98"/>
  <c r="V34" i="98"/>
  <c r="V38" i="98"/>
  <c r="V39" i="98"/>
  <c r="V40" i="98"/>
  <c r="R13" i="98"/>
  <c r="V33" i="98"/>
  <c r="J54" i="98"/>
  <c r="R15" i="98"/>
  <c r="V24" i="98"/>
  <c r="V25" i="98"/>
  <c r="R31" i="98"/>
  <c r="R34" i="98"/>
  <c r="T47" i="98"/>
  <c r="M54" i="98"/>
  <c r="V13" i="98"/>
  <c r="V15" i="98"/>
  <c r="V20" i="98" s="1"/>
  <c r="R17" i="98"/>
  <c r="K27" i="98"/>
  <c r="V31" i="98"/>
  <c r="V41" i="98" s="1"/>
  <c r="V32" i="98"/>
  <c r="R36" i="98"/>
  <c r="R37" i="98"/>
  <c r="U47" i="98"/>
  <c r="K47" i="98"/>
  <c r="V50" i="98"/>
  <c r="V51" i="98" s="1"/>
  <c r="P20" i="98"/>
  <c r="P27" i="98"/>
  <c r="V23" i="98"/>
  <c r="V27" i="98" s="1"/>
  <c r="P41" i="98"/>
  <c r="V30" i="98"/>
  <c r="U41" i="98"/>
  <c r="P47" i="98"/>
  <c r="V44" i="98"/>
  <c r="N54" i="98"/>
  <c r="U9" i="98"/>
  <c r="Q12" i="98"/>
  <c r="R12" i="98" s="1"/>
  <c r="V19" i="98"/>
  <c r="Q23" i="98"/>
  <c r="R23" i="98" s="1"/>
  <c r="V26" i="98"/>
  <c r="Q30" i="98"/>
  <c r="R30" i="98" s="1"/>
  <c r="R32" i="98"/>
  <c r="R33" i="98"/>
  <c r="V35" i="98"/>
  <c r="V36" i="98"/>
  <c r="Q44" i="98"/>
  <c r="Q47" i="98" s="1"/>
  <c r="V46" i="98"/>
  <c r="L54" i="98"/>
  <c r="P51" i="98"/>
  <c r="Q61" i="99"/>
  <c r="V61" i="99"/>
  <c r="R61" i="99"/>
  <c r="R14" i="98"/>
  <c r="R20" i="98" s="1"/>
  <c r="G54" i="98"/>
  <c r="K20" i="98"/>
  <c r="E54" i="98"/>
  <c r="T20" i="98"/>
  <c r="R19" i="98"/>
  <c r="O54" i="98"/>
  <c r="R39" i="98"/>
  <c r="K41" i="98"/>
  <c r="I54" i="98"/>
  <c r="S54" i="98"/>
  <c r="R25" i="98"/>
  <c r="R26" i="98"/>
  <c r="R8" i="98"/>
  <c r="R46" i="98"/>
  <c r="R50" i="98"/>
  <c r="R51" i="98" s="1"/>
  <c r="Q27" i="98"/>
  <c r="V8" i="98"/>
  <c r="T51" i="98"/>
  <c r="Q7" i="98"/>
  <c r="Q9" i="98" s="1"/>
  <c r="V7" i="98"/>
  <c r="K9" i="98"/>
  <c r="R44" i="98"/>
  <c r="U20" i="98"/>
  <c r="U27" i="98"/>
  <c r="T54" i="98" l="1"/>
  <c r="Q20" i="98"/>
  <c r="R41" i="98"/>
  <c r="Q41" i="98"/>
  <c r="Q54" i="98" s="1"/>
  <c r="V47" i="98"/>
  <c r="P54" i="98"/>
  <c r="V9" i="98"/>
  <c r="U54" i="98"/>
  <c r="K54" i="98"/>
  <c r="R27" i="98"/>
  <c r="R47" i="98"/>
  <c r="V54" i="98"/>
  <c r="R7" i="98"/>
  <c r="R9" i="98" s="1"/>
  <c r="R54" i="98" l="1"/>
  <c r="G20" i="97"/>
  <c r="S51" i="97"/>
  <c r="O51" i="97"/>
  <c r="N51" i="97"/>
  <c r="M51" i="97"/>
  <c r="L51" i="97"/>
  <c r="J51" i="97"/>
  <c r="I51" i="97"/>
  <c r="G51" i="97"/>
  <c r="E51" i="97"/>
  <c r="U50" i="97"/>
  <c r="U51" i="97" s="1"/>
  <c r="T50" i="97"/>
  <c r="P50" i="97"/>
  <c r="Q50" i="97" s="1"/>
  <c r="Q51" i="97" s="1"/>
  <c r="K50" i="97"/>
  <c r="K51" i="97" s="1"/>
  <c r="S47" i="97"/>
  <c r="O47" i="97"/>
  <c r="N47" i="97"/>
  <c r="M47" i="97"/>
  <c r="L47" i="97"/>
  <c r="J47" i="97"/>
  <c r="I47" i="97"/>
  <c r="H47" i="97"/>
  <c r="G47" i="97"/>
  <c r="E47" i="97"/>
  <c r="U46" i="97"/>
  <c r="T46" i="97"/>
  <c r="P46" i="97"/>
  <c r="Q46" i="97" s="1"/>
  <c r="K46" i="97"/>
  <c r="U45" i="97"/>
  <c r="T45" i="97"/>
  <c r="P45" i="97"/>
  <c r="Q45" i="97" s="1"/>
  <c r="R45" i="97" s="1"/>
  <c r="K45" i="97"/>
  <c r="U44" i="97"/>
  <c r="T44" i="97"/>
  <c r="T47" i="97" s="1"/>
  <c r="P44" i="97"/>
  <c r="Q44" i="97" s="1"/>
  <c r="K44" i="97"/>
  <c r="S41" i="97"/>
  <c r="O41" i="97"/>
  <c r="N41" i="97"/>
  <c r="M41" i="97"/>
  <c r="L41" i="97"/>
  <c r="J41" i="97"/>
  <c r="I41" i="97"/>
  <c r="G41" i="97"/>
  <c r="E41" i="97"/>
  <c r="U40" i="97"/>
  <c r="T40" i="97"/>
  <c r="P40" i="97"/>
  <c r="Q40" i="97" s="1"/>
  <c r="K40" i="97"/>
  <c r="U39" i="97"/>
  <c r="T39" i="97"/>
  <c r="V39" i="97" s="1"/>
  <c r="P39" i="97"/>
  <c r="Q39" i="97" s="1"/>
  <c r="K39" i="97"/>
  <c r="U38" i="97"/>
  <c r="T38" i="97"/>
  <c r="V38" i="97" s="1"/>
  <c r="P38" i="97"/>
  <c r="Q38" i="97" s="1"/>
  <c r="K38" i="97"/>
  <c r="U37" i="97"/>
  <c r="T37" i="97"/>
  <c r="V37" i="97" s="1"/>
  <c r="P37" i="97"/>
  <c r="Q37" i="97" s="1"/>
  <c r="K37" i="97"/>
  <c r="U36" i="97"/>
  <c r="T36" i="97"/>
  <c r="P36" i="97"/>
  <c r="Q36" i="97" s="1"/>
  <c r="K36" i="97"/>
  <c r="U35" i="97"/>
  <c r="T35" i="97"/>
  <c r="P35" i="97"/>
  <c r="Q35" i="97" s="1"/>
  <c r="K35" i="97"/>
  <c r="U34" i="97"/>
  <c r="T34" i="97"/>
  <c r="P34" i="97"/>
  <c r="Q34" i="97" s="1"/>
  <c r="K34" i="97"/>
  <c r="U33" i="97"/>
  <c r="T33" i="97"/>
  <c r="Q33" i="97"/>
  <c r="P33" i="97"/>
  <c r="K33" i="97"/>
  <c r="U32" i="97"/>
  <c r="T32" i="97"/>
  <c r="P32" i="97"/>
  <c r="Q32" i="97" s="1"/>
  <c r="K32" i="97"/>
  <c r="U31" i="97"/>
  <c r="T31" i="97"/>
  <c r="P31" i="97"/>
  <c r="Q31" i="97" s="1"/>
  <c r="K31" i="97"/>
  <c r="U30" i="97"/>
  <c r="T30" i="97"/>
  <c r="P30" i="97"/>
  <c r="K30" i="97"/>
  <c r="K41" i="97" s="1"/>
  <c r="S27" i="97"/>
  <c r="O27" i="97"/>
  <c r="N27" i="97"/>
  <c r="M27" i="97"/>
  <c r="L27" i="97"/>
  <c r="J27" i="97"/>
  <c r="I27" i="97"/>
  <c r="G27" i="97"/>
  <c r="E27" i="97"/>
  <c r="U26" i="97"/>
  <c r="T26" i="97"/>
  <c r="P26" i="97"/>
  <c r="Q26" i="97" s="1"/>
  <c r="K26" i="97"/>
  <c r="U25" i="97"/>
  <c r="V25" i="97" s="1"/>
  <c r="T25" i="97"/>
  <c r="P25" i="97"/>
  <c r="Q25" i="97" s="1"/>
  <c r="K25" i="97"/>
  <c r="U24" i="97"/>
  <c r="T24" i="97"/>
  <c r="P24" i="97"/>
  <c r="Q24" i="97" s="1"/>
  <c r="K24" i="97"/>
  <c r="U23" i="97"/>
  <c r="U27" i="97" s="1"/>
  <c r="T23" i="97"/>
  <c r="P23" i="97"/>
  <c r="P27" i="97" s="1"/>
  <c r="K23" i="97"/>
  <c r="K27" i="97" s="1"/>
  <c r="S20" i="97"/>
  <c r="O20" i="97"/>
  <c r="N20" i="97"/>
  <c r="M20" i="97"/>
  <c r="L20" i="97"/>
  <c r="J20" i="97"/>
  <c r="I20" i="97"/>
  <c r="E20" i="97"/>
  <c r="U19" i="97"/>
  <c r="T19" i="97"/>
  <c r="P19" i="97"/>
  <c r="Q19" i="97" s="1"/>
  <c r="K19" i="97"/>
  <c r="U18" i="97"/>
  <c r="T18" i="97"/>
  <c r="P18" i="97"/>
  <c r="Q18" i="97" s="1"/>
  <c r="K18" i="97"/>
  <c r="U17" i="97"/>
  <c r="T17" i="97"/>
  <c r="P17" i="97"/>
  <c r="Q17" i="97" s="1"/>
  <c r="K17" i="97"/>
  <c r="U16" i="97"/>
  <c r="T16" i="97"/>
  <c r="P16" i="97"/>
  <c r="Q16" i="97" s="1"/>
  <c r="K16" i="97"/>
  <c r="U15" i="97"/>
  <c r="T15" i="97"/>
  <c r="V15" i="97" s="1"/>
  <c r="P15" i="97"/>
  <c r="Q15" i="97" s="1"/>
  <c r="K15" i="97"/>
  <c r="U14" i="97"/>
  <c r="T14" i="97"/>
  <c r="P14" i="97"/>
  <c r="Q14" i="97" s="1"/>
  <c r="K14" i="97"/>
  <c r="U13" i="97"/>
  <c r="T13" i="97"/>
  <c r="P13" i="97"/>
  <c r="Q13" i="97" s="1"/>
  <c r="K13" i="97"/>
  <c r="U12" i="97"/>
  <c r="U20" i="97" s="1"/>
  <c r="T12" i="97"/>
  <c r="P12" i="97"/>
  <c r="P20" i="97" s="1"/>
  <c r="K12" i="97"/>
  <c r="K20" i="97" s="1"/>
  <c r="S9" i="97"/>
  <c r="O9" i="97"/>
  <c r="N9" i="97"/>
  <c r="M9" i="97"/>
  <c r="L9" i="97"/>
  <c r="J9" i="97"/>
  <c r="I9" i="97"/>
  <c r="G9" i="97"/>
  <c r="E9" i="97"/>
  <c r="U8" i="97"/>
  <c r="T8" i="97"/>
  <c r="Q8" i="97"/>
  <c r="P8" i="97"/>
  <c r="K8" i="97"/>
  <c r="U7" i="97"/>
  <c r="T7" i="97"/>
  <c r="P7" i="97"/>
  <c r="P9" i="97" s="1"/>
  <c r="K7" i="97"/>
  <c r="J54" i="97" l="1"/>
  <c r="V19" i="97"/>
  <c r="R39" i="97"/>
  <c r="R40" i="97"/>
  <c r="V8" i="97"/>
  <c r="R25" i="97"/>
  <c r="R26" i="97"/>
  <c r="V33" i="97"/>
  <c r="V31" i="97"/>
  <c r="R37" i="97"/>
  <c r="V26" i="97"/>
  <c r="P41" i="97"/>
  <c r="T9" i="97"/>
  <c r="N54" i="97"/>
  <c r="R15" i="97"/>
  <c r="R16" i="97"/>
  <c r="R19" i="97"/>
  <c r="V34" i="97"/>
  <c r="V35" i="97"/>
  <c r="E54" i="97"/>
  <c r="L54" i="97"/>
  <c r="U9" i="97"/>
  <c r="M54" i="97"/>
  <c r="T20" i="97"/>
  <c r="V13" i="97"/>
  <c r="V14" i="97"/>
  <c r="T27" i="97"/>
  <c r="V24" i="97"/>
  <c r="V32" i="97"/>
  <c r="R34" i="97"/>
  <c r="V40" i="97"/>
  <c r="K47" i="97"/>
  <c r="V50" i="97"/>
  <c r="V51" i="97" s="1"/>
  <c r="Q12" i="97"/>
  <c r="R12" i="97" s="1"/>
  <c r="V16" i="97"/>
  <c r="V17" i="97"/>
  <c r="V18" i="97"/>
  <c r="R32" i="97"/>
  <c r="V36" i="97"/>
  <c r="R38" i="97"/>
  <c r="U47" i="97"/>
  <c r="V45" i="97"/>
  <c r="V46" i="97"/>
  <c r="R8" i="97"/>
  <c r="T41" i="97"/>
  <c r="R33" i="97"/>
  <c r="V44" i="97"/>
  <c r="S54" i="97"/>
  <c r="Q47" i="97"/>
  <c r="O54" i="97"/>
  <c r="I54" i="97"/>
  <c r="R14" i="97"/>
  <c r="R13" i="97"/>
  <c r="G54" i="97"/>
  <c r="R17" i="97"/>
  <c r="R18" i="97"/>
  <c r="R35" i="97"/>
  <c r="R36" i="97"/>
  <c r="R31" i="97"/>
  <c r="R24" i="97"/>
  <c r="V12" i="97"/>
  <c r="Q23" i="97"/>
  <c r="V23" i="97"/>
  <c r="Q30" i="97"/>
  <c r="V30" i="97"/>
  <c r="R46" i="97"/>
  <c r="R50" i="97"/>
  <c r="R51" i="97" s="1"/>
  <c r="U41" i="97"/>
  <c r="P51" i="97"/>
  <c r="T51" i="97"/>
  <c r="K9" i="97"/>
  <c r="R44" i="97"/>
  <c r="P47" i="97"/>
  <c r="Q7" i="97"/>
  <c r="Q9" i="97" s="1"/>
  <c r="V7" i="97"/>
  <c r="V9" i="97" s="1"/>
  <c r="K8" i="96"/>
  <c r="K7" i="96"/>
  <c r="K50" i="96"/>
  <c r="K46" i="96"/>
  <c r="K45" i="96"/>
  <c r="K44" i="96"/>
  <c r="K40" i="96"/>
  <c r="K39" i="96"/>
  <c r="K38" i="96"/>
  <c r="K37" i="96"/>
  <c r="K36" i="96"/>
  <c r="K35" i="96"/>
  <c r="K34" i="96"/>
  <c r="K33" i="96"/>
  <c r="K32" i="96"/>
  <c r="K31" i="96"/>
  <c r="K30" i="96"/>
  <c r="K26" i="96"/>
  <c r="K25" i="96"/>
  <c r="K24" i="96"/>
  <c r="K23" i="96"/>
  <c r="K19" i="96"/>
  <c r="K18" i="96"/>
  <c r="K17" i="96"/>
  <c r="K16" i="96"/>
  <c r="K15" i="96"/>
  <c r="K14" i="96"/>
  <c r="K13" i="96"/>
  <c r="K12" i="96"/>
  <c r="H51" i="96"/>
  <c r="I51" i="96"/>
  <c r="J51" i="96"/>
  <c r="H47" i="96"/>
  <c r="I47" i="96"/>
  <c r="J47" i="96"/>
  <c r="H41" i="96"/>
  <c r="I41" i="96"/>
  <c r="J41" i="96"/>
  <c r="H27" i="96"/>
  <c r="I27" i="96"/>
  <c r="J27" i="96"/>
  <c r="H20" i="96"/>
  <c r="I20" i="96"/>
  <c r="J20" i="96"/>
  <c r="H9" i="96"/>
  <c r="S51" i="96"/>
  <c r="O51" i="96"/>
  <c r="N51" i="96"/>
  <c r="M51" i="96"/>
  <c r="L51" i="96"/>
  <c r="G51" i="96"/>
  <c r="E51" i="96"/>
  <c r="U50" i="96"/>
  <c r="U51" i="96" s="1"/>
  <c r="T50" i="96"/>
  <c r="P50" i="96"/>
  <c r="Q50" i="96" s="1"/>
  <c r="Q51" i="96" s="1"/>
  <c r="K51" i="96"/>
  <c r="S47" i="96"/>
  <c r="O47" i="96"/>
  <c r="N47" i="96"/>
  <c r="M47" i="96"/>
  <c r="L47" i="96"/>
  <c r="G47" i="96"/>
  <c r="E47" i="96"/>
  <c r="U46" i="96"/>
  <c r="T46" i="96"/>
  <c r="P46" i="96"/>
  <c r="Q46" i="96" s="1"/>
  <c r="U45" i="96"/>
  <c r="T45" i="96"/>
  <c r="V45" i="96" s="1"/>
  <c r="P45" i="96"/>
  <c r="Q45" i="96" s="1"/>
  <c r="R45" i="96" s="1"/>
  <c r="U44" i="96"/>
  <c r="T44" i="96"/>
  <c r="P44" i="96"/>
  <c r="S41" i="96"/>
  <c r="O41" i="96"/>
  <c r="N41" i="96"/>
  <c r="M41" i="96"/>
  <c r="L41" i="96"/>
  <c r="G41" i="96"/>
  <c r="E41" i="96"/>
  <c r="U40" i="96"/>
  <c r="T40" i="96"/>
  <c r="P40" i="96"/>
  <c r="Q40" i="96" s="1"/>
  <c r="U39" i="96"/>
  <c r="T39" i="96"/>
  <c r="P39" i="96"/>
  <c r="Q39" i="96" s="1"/>
  <c r="R39" i="96" s="1"/>
  <c r="U38" i="96"/>
  <c r="T38" i="96"/>
  <c r="P38" i="96"/>
  <c r="Q38" i="96" s="1"/>
  <c r="U37" i="96"/>
  <c r="T37" i="96"/>
  <c r="P37" i="96"/>
  <c r="Q37" i="96" s="1"/>
  <c r="U36" i="96"/>
  <c r="T36" i="96"/>
  <c r="P36" i="96"/>
  <c r="Q36" i="96" s="1"/>
  <c r="U35" i="96"/>
  <c r="T35" i="96"/>
  <c r="P35" i="96"/>
  <c r="Q35" i="96" s="1"/>
  <c r="R35" i="96" s="1"/>
  <c r="U34" i="96"/>
  <c r="T34" i="96"/>
  <c r="P34" i="96"/>
  <c r="Q34" i="96" s="1"/>
  <c r="U33" i="96"/>
  <c r="T33" i="96"/>
  <c r="P33" i="96"/>
  <c r="Q33" i="96" s="1"/>
  <c r="U32" i="96"/>
  <c r="T32" i="96"/>
  <c r="P32" i="96"/>
  <c r="Q32" i="96" s="1"/>
  <c r="U31" i="96"/>
  <c r="T31" i="96"/>
  <c r="P31" i="96"/>
  <c r="Q31" i="96" s="1"/>
  <c r="U30" i="96"/>
  <c r="T30" i="96"/>
  <c r="V30" i="96" s="1"/>
  <c r="P30" i="96"/>
  <c r="Q30" i="96" s="1"/>
  <c r="S27" i="96"/>
  <c r="O27" i="96"/>
  <c r="N27" i="96"/>
  <c r="M27" i="96"/>
  <c r="L27" i="96"/>
  <c r="G27" i="96"/>
  <c r="E27" i="96"/>
  <c r="U26" i="96"/>
  <c r="T26" i="96"/>
  <c r="P26" i="96"/>
  <c r="Q26" i="96" s="1"/>
  <c r="U25" i="96"/>
  <c r="T25" i="96"/>
  <c r="P25" i="96"/>
  <c r="Q25" i="96" s="1"/>
  <c r="U24" i="96"/>
  <c r="T24" i="96"/>
  <c r="P24" i="96"/>
  <c r="Q24" i="96" s="1"/>
  <c r="R24" i="96" s="1"/>
  <c r="U23" i="96"/>
  <c r="T23" i="96"/>
  <c r="P23" i="96"/>
  <c r="S20" i="96"/>
  <c r="O20" i="96"/>
  <c r="N20" i="96"/>
  <c r="M20" i="96"/>
  <c r="L20" i="96"/>
  <c r="G20" i="96"/>
  <c r="E20" i="96"/>
  <c r="U19" i="96"/>
  <c r="T19" i="96"/>
  <c r="P19" i="96"/>
  <c r="Q19" i="96" s="1"/>
  <c r="U18" i="96"/>
  <c r="T18" i="96"/>
  <c r="V18" i="96" s="1"/>
  <c r="P18" i="96"/>
  <c r="Q18" i="96" s="1"/>
  <c r="U17" i="96"/>
  <c r="T17" i="96"/>
  <c r="P17" i="96"/>
  <c r="Q17" i="96" s="1"/>
  <c r="U16" i="96"/>
  <c r="T16" i="96"/>
  <c r="P16" i="96"/>
  <c r="Q16" i="96" s="1"/>
  <c r="U15" i="96"/>
  <c r="T15" i="96"/>
  <c r="V15" i="96" s="1"/>
  <c r="P15" i="96"/>
  <c r="Q15" i="96" s="1"/>
  <c r="U14" i="96"/>
  <c r="T14" i="96"/>
  <c r="P14" i="96"/>
  <c r="Q14" i="96" s="1"/>
  <c r="R14" i="96" s="1"/>
  <c r="U13" i="96"/>
  <c r="T13" i="96"/>
  <c r="P13" i="96"/>
  <c r="Q13" i="96" s="1"/>
  <c r="V12" i="96"/>
  <c r="U12" i="96"/>
  <c r="T12" i="96"/>
  <c r="P12" i="96"/>
  <c r="Q12" i="96" s="1"/>
  <c r="S9" i="96"/>
  <c r="O9" i="96"/>
  <c r="N9" i="96"/>
  <c r="M9" i="96"/>
  <c r="L9" i="96"/>
  <c r="J9" i="96"/>
  <c r="I9" i="96"/>
  <c r="G9" i="96"/>
  <c r="E9" i="96"/>
  <c r="U8" i="96"/>
  <c r="T8" i="96"/>
  <c r="V8" i="96" s="1"/>
  <c r="P8" i="96"/>
  <c r="Q8" i="96" s="1"/>
  <c r="U7" i="96"/>
  <c r="T7" i="96"/>
  <c r="P7" i="96"/>
  <c r="K54" i="97" l="1"/>
  <c r="V27" i="97"/>
  <c r="P9" i="96"/>
  <c r="R16" i="96"/>
  <c r="R34" i="96"/>
  <c r="V16" i="96"/>
  <c r="K47" i="96"/>
  <c r="P54" i="97"/>
  <c r="V31" i="96"/>
  <c r="P27" i="96"/>
  <c r="V17" i="96"/>
  <c r="V34" i="96"/>
  <c r="V38" i="96"/>
  <c r="T54" i="97"/>
  <c r="I54" i="96"/>
  <c r="T27" i="96"/>
  <c r="V33" i="96"/>
  <c r="R37" i="96"/>
  <c r="H54" i="96"/>
  <c r="U54" i="97"/>
  <c r="Q7" i="96"/>
  <c r="R7" i="96" s="1"/>
  <c r="J54" i="96"/>
  <c r="P47" i="96"/>
  <c r="L54" i="96"/>
  <c r="S54" i="96"/>
  <c r="V23" i="96"/>
  <c r="V26" i="96"/>
  <c r="V37" i="96"/>
  <c r="Q20" i="97"/>
  <c r="V47" i="97"/>
  <c r="T9" i="96"/>
  <c r="U9" i="96"/>
  <c r="O54" i="96"/>
  <c r="T20" i="96"/>
  <c r="V13" i="96"/>
  <c r="V14" i="96"/>
  <c r="U20" i="96"/>
  <c r="Q23" i="96"/>
  <c r="R23" i="96" s="1"/>
  <c r="U41" i="96"/>
  <c r="T47" i="96"/>
  <c r="V41" i="97"/>
  <c r="V20" i="97"/>
  <c r="V54" i="97" s="1"/>
  <c r="T41" i="96"/>
  <c r="E54" i="96"/>
  <c r="V24" i="96"/>
  <c r="V25" i="96"/>
  <c r="U27" i="96"/>
  <c r="V39" i="96"/>
  <c r="V40" i="96"/>
  <c r="U47" i="96"/>
  <c r="V50" i="96"/>
  <c r="V51" i="96" s="1"/>
  <c r="R38" i="96"/>
  <c r="R47" i="97"/>
  <c r="R20" i="97"/>
  <c r="M54" i="96"/>
  <c r="P20" i="96"/>
  <c r="R18" i="96"/>
  <c r="V19" i="96"/>
  <c r="R32" i="96"/>
  <c r="V35" i="96"/>
  <c r="V36" i="96"/>
  <c r="V46" i="96"/>
  <c r="R30" i="97"/>
  <c r="R41" i="97" s="1"/>
  <c r="Q41" i="97"/>
  <c r="R7" i="97"/>
  <c r="R9" i="97" s="1"/>
  <c r="R23" i="97"/>
  <c r="R27" i="97" s="1"/>
  <c r="Q27" i="97"/>
  <c r="R46" i="96"/>
  <c r="R40" i="96"/>
  <c r="R36" i="96"/>
  <c r="R25" i="96"/>
  <c r="N54" i="96"/>
  <c r="G54" i="96"/>
  <c r="K41" i="96"/>
  <c r="R33" i="96"/>
  <c r="R31" i="96"/>
  <c r="R17" i="96"/>
  <c r="R15" i="96"/>
  <c r="R13" i="96"/>
  <c r="R26" i="96"/>
  <c r="K27" i="96"/>
  <c r="R19" i="96"/>
  <c r="K20" i="96"/>
  <c r="R8" i="96"/>
  <c r="R9" i="96" s="1"/>
  <c r="Q9" i="96"/>
  <c r="Q20" i="96"/>
  <c r="Q41" i="96"/>
  <c r="R50" i="96"/>
  <c r="R51" i="96" s="1"/>
  <c r="P41" i="96"/>
  <c r="R12" i="96"/>
  <c r="R30" i="96"/>
  <c r="Q44" i="96"/>
  <c r="V44" i="96"/>
  <c r="P51" i="96"/>
  <c r="T51" i="96"/>
  <c r="K9" i="96"/>
  <c r="V32" i="96"/>
  <c r="V7" i="96"/>
  <c r="V9" i="96" s="1"/>
  <c r="V20" i="96" l="1"/>
  <c r="U54" i="96"/>
  <c r="P54" i="96"/>
  <c r="V27" i="96"/>
  <c r="V47" i="96"/>
  <c r="Q27" i="96"/>
  <c r="T54" i="96"/>
  <c r="V41" i="96"/>
  <c r="Q54" i="97"/>
  <c r="R54" i="97"/>
  <c r="R41" i="96"/>
  <c r="R20" i="96"/>
  <c r="R27" i="96"/>
  <c r="K54" i="96"/>
  <c r="Q47" i="96"/>
  <c r="Q54" i="96" s="1"/>
  <c r="R44" i="96"/>
  <c r="R47" i="96" s="1"/>
  <c r="V54" i="96" l="1"/>
  <c r="R54" i="96"/>
  <c r="G41" i="94" l="1"/>
  <c r="S51" i="94"/>
  <c r="O51" i="94"/>
  <c r="M51" i="94"/>
  <c r="L51" i="94"/>
  <c r="J51" i="94"/>
  <c r="I51" i="94"/>
  <c r="G51" i="94"/>
  <c r="E51" i="94"/>
  <c r="U50" i="94"/>
  <c r="U51" i="94" s="1"/>
  <c r="T50" i="94"/>
  <c r="P50" i="94"/>
  <c r="P51" i="94" s="1"/>
  <c r="N51" i="94"/>
  <c r="K50" i="94"/>
  <c r="K51" i="94" s="1"/>
  <c r="S47" i="94"/>
  <c r="O47" i="94"/>
  <c r="M47" i="94"/>
  <c r="L47" i="94"/>
  <c r="J47" i="94"/>
  <c r="I47" i="94"/>
  <c r="H47" i="94"/>
  <c r="G47" i="94"/>
  <c r="E47" i="94"/>
  <c r="U46" i="94"/>
  <c r="T46" i="94"/>
  <c r="P46" i="94"/>
  <c r="Q46" i="94" s="1"/>
  <c r="K46" i="94"/>
  <c r="U45" i="94"/>
  <c r="T45" i="94"/>
  <c r="P45" i="94"/>
  <c r="Q45" i="94" s="1"/>
  <c r="K45" i="94"/>
  <c r="U44" i="94"/>
  <c r="T44" i="94"/>
  <c r="P44" i="94"/>
  <c r="N47" i="94"/>
  <c r="K44" i="94"/>
  <c r="S41" i="94"/>
  <c r="O41" i="94"/>
  <c r="M41" i="94"/>
  <c r="L41" i="94"/>
  <c r="J41" i="94"/>
  <c r="I41" i="94"/>
  <c r="E41" i="94"/>
  <c r="U40" i="94"/>
  <c r="T40" i="94"/>
  <c r="P40" i="94"/>
  <c r="Q40" i="94" s="1"/>
  <c r="K40" i="94"/>
  <c r="U39" i="94"/>
  <c r="T39" i="94"/>
  <c r="P39" i="94"/>
  <c r="Q39" i="94" s="1"/>
  <c r="K39" i="94"/>
  <c r="U38" i="94"/>
  <c r="T38" i="94"/>
  <c r="P38" i="94"/>
  <c r="Q38" i="94" s="1"/>
  <c r="K38" i="94"/>
  <c r="U37" i="94"/>
  <c r="T37" i="94"/>
  <c r="P37" i="94"/>
  <c r="Q37" i="94" s="1"/>
  <c r="K37" i="94"/>
  <c r="U36" i="94"/>
  <c r="T36" i="94"/>
  <c r="P36" i="94"/>
  <c r="Q36" i="94" s="1"/>
  <c r="K36" i="94"/>
  <c r="U35" i="94"/>
  <c r="T35" i="94"/>
  <c r="P35" i="94"/>
  <c r="Q35" i="94"/>
  <c r="K35" i="94"/>
  <c r="U34" i="94"/>
  <c r="T34" i="94"/>
  <c r="P34" i="94"/>
  <c r="Q34" i="94" s="1"/>
  <c r="K34" i="94"/>
  <c r="U33" i="94"/>
  <c r="T33" i="94"/>
  <c r="P33" i="94"/>
  <c r="Q33" i="94" s="1"/>
  <c r="K33" i="94"/>
  <c r="U32" i="94"/>
  <c r="T32" i="94"/>
  <c r="P32" i="94"/>
  <c r="Q32" i="94" s="1"/>
  <c r="K32" i="94"/>
  <c r="U31" i="94"/>
  <c r="T31" i="94"/>
  <c r="P31" i="94"/>
  <c r="Q31" i="94" s="1"/>
  <c r="K31" i="94"/>
  <c r="U30" i="94"/>
  <c r="T30" i="94"/>
  <c r="P30" i="94"/>
  <c r="N41" i="94"/>
  <c r="K30" i="94"/>
  <c r="S27" i="94"/>
  <c r="O27" i="94"/>
  <c r="M27" i="94"/>
  <c r="L27" i="94"/>
  <c r="J27" i="94"/>
  <c r="I27" i="94"/>
  <c r="G27" i="94"/>
  <c r="E27" i="94"/>
  <c r="U26" i="94"/>
  <c r="T26" i="94"/>
  <c r="P26" i="94"/>
  <c r="Q26" i="94" s="1"/>
  <c r="K26" i="94"/>
  <c r="U25" i="94"/>
  <c r="T25" i="94"/>
  <c r="P25" i="94"/>
  <c r="Q25" i="94" s="1"/>
  <c r="K25" i="94"/>
  <c r="U24" i="94"/>
  <c r="T24" i="94"/>
  <c r="P24" i="94"/>
  <c r="K24" i="94"/>
  <c r="U23" i="94"/>
  <c r="T23" i="94"/>
  <c r="P23" i="94"/>
  <c r="N27" i="94"/>
  <c r="K23" i="94"/>
  <c r="S20" i="94"/>
  <c r="O20" i="94"/>
  <c r="M20" i="94"/>
  <c r="L20" i="94"/>
  <c r="J20" i="94"/>
  <c r="I20" i="94"/>
  <c r="G20" i="94"/>
  <c r="E20" i="94"/>
  <c r="U19" i="94"/>
  <c r="T19" i="94"/>
  <c r="P19" i="94"/>
  <c r="Q19" i="94" s="1"/>
  <c r="K19" i="94"/>
  <c r="U18" i="94"/>
  <c r="T18" i="94"/>
  <c r="P18" i="94"/>
  <c r="Q18" i="94" s="1"/>
  <c r="K18" i="94"/>
  <c r="U17" i="94"/>
  <c r="T17" i="94"/>
  <c r="P17" i="94"/>
  <c r="Q17" i="94" s="1"/>
  <c r="K17" i="94"/>
  <c r="U16" i="94"/>
  <c r="T16" i="94"/>
  <c r="P16" i="94"/>
  <c r="Q16" i="94" s="1"/>
  <c r="K16" i="94"/>
  <c r="U15" i="94"/>
  <c r="T15" i="94"/>
  <c r="V15" i="94" s="1"/>
  <c r="P15" i="94"/>
  <c r="Q15" i="94" s="1"/>
  <c r="K15" i="94"/>
  <c r="U14" i="94"/>
  <c r="T14" i="94"/>
  <c r="P14" i="94"/>
  <c r="Q14" i="94" s="1"/>
  <c r="K14" i="94"/>
  <c r="U13" i="94"/>
  <c r="T13" i="94"/>
  <c r="P13" i="94"/>
  <c r="Q13" i="94" s="1"/>
  <c r="K13" i="94"/>
  <c r="U12" i="94"/>
  <c r="T12" i="94"/>
  <c r="P12" i="94"/>
  <c r="N20" i="94"/>
  <c r="K12" i="94"/>
  <c r="S9" i="94"/>
  <c r="O9" i="94"/>
  <c r="M9" i="94"/>
  <c r="L9" i="94"/>
  <c r="J9" i="94"/>
  <c r="I9" i="94"/>
  <c r="G9" i="94"/>
  <c r="E9" i="94"/>
  <c r="U8" i="94"/>
  <c r="T8" i="94"/>
  <c r="P8" i="94"/>
  <c r="Q8" i="94" s="1"/>
  <c r="K8" i="94"/>
  <c r="U7" i="94"/>
  <c r="T7" i="94"/>
  <c r="P7" i="94"/>
  <c r="P9" i="94" s="1"/>
  <c r="N9" i="94"/>
  <c r="K7" i="94"/>
  <c r="V7" i="94" l="1"/>
  <c r="V35" i="94"/>
  <c r="V19" i="94"/>
  <c r="V31" i="94"/>
  <c r="J54" i="94"/>
  <c r="S54" i="94"/>
  <c r="V25" i="94"/>
  <c r="V39" i="94"/>
  <c r="P20" i="94"/>
  <c r="V17" i="94"/>
  <c r="V37" i="94"/>
  <c r="P47" i="94"/>
  <c r="P27" i="94"/>
  <c r="K41" i="94"/>
  <c r="U41" i="94"/>
  <c r="E54" i="94"/>
  <c r="L54" i="94"/>
  <c r="V13" i="94"/>
  <c r="V23" i="94"/>
  <c r="V33" i="94"/>
  <c r="V45" i="94"/>
  <c r="T20" i="94"/>
  <c r="V16" i="94"/>
  <c r="Q24" i="94"/>
  <c r="R24" i="94" s="1"/>
  <c r="V26" i="94"/>
  <c r="V32" i="94"/>
  <c r="V36" i="94"/>
  <c r="V40" i="94"/>
  <c r="V44" i="94"/>
  <c r="V50" i="94"/>
  <c r="V51" i="94" s="1"/>
  <c r="R38" i="94"/>
  <c r="G54" i="94"/>
  <c r="K20" i="94"/>
  <c r="U20" i="94"/>
  <c r="P41" i="94"/>
  <c r="U47" i="94"/>
  <c r="M54" i="94"/>
  <c r="K9" i="94"/>
  <c r="U9" i="94"/>
  <c r="U54" i="94" s="1"/>
  <c r="V8" i="94"/>
  <c r="V9" i="94" s="1"/>
  <c r="I54" i="94"/>
  <c r="V14" i="94"/>
  <c r="V18" i="94"/>
  <c r="K27" i="94"/>
  <c r="U27" i="94"/>
  <c r="V24" i="94"/>
  <c r="V30" i="94"/>
  <c r="V34" i="94"/>
  <c r="V38" i="94"/>
  <c r="V46" i="94"/>
  <c r="V47" i="94" s="1"/>
  <c r="R18" i="94"/>
  <c r="R8" i="94"/>
  <c r="R26" i="94"/>
  <c r="R36" i="94"/>
  <c r="R34" i="94"/>
  <c r="R32" i="94"/>
  <c r="N54" i="94"/>
  <c r="R14" i="94"/>
  <c r="R45" i="94"/>
  <c r="R40" i="94"/>
  <c r="O54" i="94"/>
  <c r="R16" i="94"/>
  <c r="R15" i="94"/>
  <c r="R19" i="94"/>
  <c r="R25" i="94"/>
  <c r="R31" i="94"/>
  <c r="R35" i="94"/>
  <c r="R39" i="94"/>
  <c r="R46" i="94"/>
  <c r="R13" i="94"/>
  <c r="R17" i="94"/>
  <c r="R33" i="94"/>
  <c r="R37" i="94"/>
  <c r="T41" i="94"/>
  <c r="K47" i="94"/>
  <c r="T47" i="94"/>
  <c r="T51" i="94"/>
  <c r="Q12" i="94"/>
  <c r="Q20" i="94" s="1"/>
  <c r="V12" i="94"/>
  <c r="Q23" i="94"/>
  <c r="Q30" i="94"/>
  <c r="Q41" i="94" s="1"/>
  <c r="Q44" i="94"/>
  <c r="Q47" i="94" s="1"/>
  <c r="T9" i="94"/>
  <c r="T27" i="94"/>
  <c r="Q7" i="94"/>
  <c r="Q9" i="94" s="1"/>
  <c r="Q50" i="94"/>
  <c r="Q51" i="94" s="1"/>
  <c r="K16" i="93"/>
  <c r="K8" i="93"/>
  <c r="K7" i="93"/>
  <c r="S51" i="93"/>
  <c r="O51" i="93"/>
  <c r="M51" i="93"/>
  <c r="L51" i="93"/>
  <c r="J51" i="93"/>
  <c r="I51" i="93"/>
  <c r="G51" i="93"/>
  <c r="E51" i="93"/>
  <c r="U50" i="93"/>
  <c r="U51" i="93" s="1"/>
  <c r="T50" i="93"/>
  <c r="T51" i="93" s="1"/>
  <c r="P50" i="93"/>
  <c r="P51" i="93" s="1"/>
  <c r="N50" i="93"/>
  <c r="K50" i="93"/>
  <c r="K51" i="93" s="1"/>
  <c r="S47" i="93"/>
  <c r="O47" i="93"/>
  <c r="M47" i="93"/>
  <c r="L47" i="93"/>
  <c r="J47" i="93"/>
  <c r="I47" i="93"/>
  <c r="H47" i="93"/>
  <c r="G47" i="93"/>
  <c r="E47" i="93"/>
  <c r="U46" i="93"/>
  <c r="T46" i="93"/>
  <c r="P46" i="93"/>
  <c r="N46" i="93"/>
  <c r="K46" i="93"/>
  <c r="U45" i="93"/>
  <c r="T45" i="93"/>
  <c r="P45" i="93"/>
  <c r="N45" i="93"/>
  <c r="K45" i="93"/>
  <c r="U44" i="93"/>
  <c r="T44" i="93"/>
  <c r="P44" i="93"/>
  <c r="N44" i="93"/>
  <c r="K44" i="93"/>
  <c r="S41" i="93"/>
  <c r="O41" i="93"/>
  <c r="M41" i="93"/>
  <c r="L41" i="93"/>
  <c r="J41" i="93"/>
  <c r="I41" i="93"/>
  <c r="G41" i="93"/>
  <c r="E41" i="93"/>
  <c r="U40" i="93"/>
  <c r="T40" i="93"/>
  <c r="P40" i="93"/>
  <c r="N40" i="93"/>
  <c r="K40" i="93"/>
  <c r="U39" i="93"/>
  <c r="T39" i="93"/>
  <c r="P39" i="93"/>
  <c r="N39" i="93"/>
  <c r="K39" i="93"/>
  <c r="U38" i="93"/>
  <c r="T38" i="93"/>
  <c r="P38" i="93"/>
  <c r="N38" i="93"/>
  <c r="K38" i="93"/>
  <c r="U37" i="93"/>
  <c r="T37" i="93"/>
  <c r="P37" i="93"/>
  <c r="N37" i="93"/>
  <c r="K37" i="93"/>
  <c r="U36" i="93"/>
  <c r="T36" i="93"/>
  <c r="P36" i="93"/>
  <c r="N36" i="93"/>
  <c r="K36" i="93"/>
  <c r="U35" i="93"/>
  <c r="T35" i="93"/>
  <c r="P35" i="93"/>
  <c r="N35" i="93"/>
  <c r="K35" i="93"/>
  <c r="U34" i="93"/>
  <c r="T34" i="93"/>
  <c r="P34" i="93"/>
  <c r="N34" i="93"/>
  <c r="K34" i="93"/>
  <c r="U33" i="93"/>
  <c r="T33" i="93"/>
  <c r="P33" i="93"/>
  <c r="N33" i="93"/>
  <c r="K33" i="93"/>
  <c r="U32" i="93"/>
  <c r="T32" i="93"/>
  <c r="P32" i="93"/>
  <c r="N32" i="93"/>
  <c r="K32" i="93"/>
  <c r="U31" i="93"/>
  <c r="T31" i="93"/>
  <c r="P31" i="93"/>
  <c r="N31" i="93"/>
  <c r="K31" i="93"/>
  <c r="U30" i="93"/>
  <c r="T30" i="93"/>
  <c r="P30" i="93"/>
  <c r="N30" i="93"/>
  <c r="K30" i="93"/>
  <c r="S27" i="93"/>
  <c r="O27" i="93"/>
  <c r="M27" i="93"/>
  <c r="L27" i="93"/>
  <c r="J27" i="93"/>
  <c r="I27" i="93"/>
  <c r="G27" i="93"/>
  <c r="E27" i="93"/>
  <c r="U26" i="93"/>
  <c r="T26" i="93"/>
  <c r="P26" i="93"/>
  <c r="N26" i="93"/>
  <c r="K26" i="93"/>
  <c r="U25" i="93"/>
  <c r="T25" i="93"/>
  <c r="P25" i="93"/>
  <c r="N25" i="93"/>
  <c r="K25" i="93"/>
  <c r="U24" i="93"/>
  <c r="T24" i="93"/>
  <c r="P24" i="93"/>
  <c r="N24" i="93"/>
  <c r="K24" i="93"/>
  <c r="U23" i="93"/>
  <c r="T23" i="93"/>
  <c r="P23" i="93"/>
  <c r="N23" i="93"/>
  <c r="K23" i="93"/>
  <c r="S20" i="93"/>
  <c r="O20" i="93"/>
  <c r="M20" i="93"/>
  <c r="L20" i="93"/>
  <c r="J20" i="93"/>
  <c r="I20" i="93"/>
  <c r="G20" i="93"/>
  <c r="E20" i="93"/>
  <c r="U19" i="93"/>
  <c r="T19" i="93"/>
  <c r="P19" i="93"/>
  <c r="N19" i="93"/>
  <c r="K19" i="93"/>
  <c r="U18" i="93"/>
  <c r="T18" i="93"/>
  <c r="P18" i="93"/>
  <c r="N18" i="93"/>
  <c r="K18" i="93"/>
  <c r="U17" i="93"/>
  <c r="T17" i="93"/>
  <c r="P17" i="93"/>
  <c r="N17" i="93"/>
  <c r="K17" i="93"/>
  <c r="U16" i="93"/>
  <c r="T16" i="93"/>
  <c r="P16" i="93"/>
  <c r="N16" i="93"/>
  <c r="U15" i="93"/>
  <c r="T15" i="93"/>
  <c r="P15" i="93"/>
  <c r="N15" i="93"/>
  <c r="K15" i="93"/>
  <c r="U14" i="93"/>
  <c r="T14" i="93"/>
  <c r="P14" i="93"/>
  <c r="N14" i="93"/>
  <c r="K14" i="93"/>
  <c r="U13" i="93"/>
  <c r="T13" i="93"/>
  <c r="P13" i="93"/>
  <c r="N13" i="93"/>
  <c r="K13" i="93"/>
  <c r="U12" i="93"/>
  <c r="T12" i="93"/>
  <c r="P12" i="93"/>
  <c r="N12" i="93"/>
  <c r="K12" i="93"/>
  <c r="S9" i="93"/>
  <c r="O9" i="93"/>
  <c r="M9" i="93"/>
  <c r="L9" i="93"/>
  <c r="J9" i="93"/>
  <c r="I9" i="93"/>
  <c r="G9" i="93"/>
  <c r="E9" i="93"/>
  <c r="U8" i="93"/>
  <c r="T8" i="93"/>
  <c r="P8" i="93"/>
  <c r="N8" i="93"/>
  <c r="U7" i="93"/>
  <c r="T7" i="93"/>
  <c r="P7" i="93"/>
  <c r="P9" i="93" s="1"/>
  <c r="N7" i="93"/>
  <c r="N9" i="93" s="1"/>
  <c r="V27" i="94" l="1"/>
  <c r="E54" i="93"/>
  <c r="L54" i="93"/>
  <c r="K20" i="93"/>
  <c r="U20" i="93"/>
  <c r="V13" i="93"/>
  <c r="V18" i="93"/>
  <c r="N27" i="93"/>
  <c r="Q45" i="93"/>
  <c r="R45" i="93" s="1"/>
  <c r="M54" i="93"/>
  <c r="V20" i="94"/>
  <c r="V41" i="94"/>
  <c r="Q13" i="93"/>
  <c r="R13" i="93" s="1"/>
  <c r="V16" i="93"/>
  <c r="Q18" i="93"/>
  <c r="R18" i="93" s="1"/>
  <c r="V23" i="93"/>
  <c r="V45" i="93"/>
  <c r="Q46" i="93"/>
  <c r="V7" i="93"/>
  <c r="I54" i="93"/>
  <c r="V14" i="93"/>
  <c r="V26" i="93"/>
  <c r="P41" i="93"/>
  <c r="Q31" i="93"/>
  <c r="R31" i="93" s="1"/>
  <c r="V33" i="93"/>
  <c r="Q35" i="93"/>
  <c r="V37" i="93"/>
  <c r="Q39" i="93"/>
  <c r="R39" i="93" s="1"/>
  <c r="T47" i="93"/>
  <c r="K54" i="94"/>
  <c r="P54" i="94"/>
  <c r="V54" i="94"/>
  <c r="P20" i="93"/>
  <c r="Q8" i="93"/>
  <c r="R8" i="93" s="1"/>
  <c r="V24" i="93"/>
  <c r="Q26" i="93"/>
  <c r="K41" i="93"/>
  <c r="U41" i="93"/>
  <c r="V31" i="93"/>
  <c r="Q33" i="93"/>
  <c r="R33" i="93" s="1"/>
  <c r="V35" i="93"/>
  <c r="Q37" i="93"/>
  <c r="R37" i="93" s="1"/>
  <c r="V39" i="93"/>
  <c r="N47" i="93"/>
  <c r="V46" i="93"/>
  <c r="Q50" i="93"/>
  <c r="Q51" i="93" s="1"/>
  <c r="U9" i="93"/>
  <c r="V8" i="93"/>
  <c r="V9" i="93" s="1"/>
  <c r="N20" i="93"/>
  <c r="Q15" i="93"/>
  <c r="R15" i="93" s="1"/>
  <c r="Q16" i="93"/>
  <c r="R16" i="93" s="1"/>
  <c r="V17" i="93"/>
  <c r="Q19" i="93"/>
  <c r="U27" i="93"/>
  <c r="Q25" i="93"/>
  <c r="R26" i="93"/>
  <c r="V30" i="93"/>
  <c r="Q32" i="93"/>
  <c r="R32" i="93" s="1"/>
  <c r="V34" i="93"/>
  <c r="Q36" i="93"/>
  <c r="R36" i="93" s="1"/>
  <c r="V38" i="93"/>
  <c r="Q40" i="93"/>
  <c r="R40" i="93" s="1"/>
  <c r="K47" i="93"/>
  <c r="U47" i="93"/>
  <c r="J54" i="93"/>
  <c r="N51" i="93"/>
  <c r="Q7" i="93"/>
  <c r="R7" i="93" s="1"/>
  <c r="V44" i="93"/>
  <c r="V47" i="93" s="1"/>
  <c r="R46" i="93"/>
  <c r="V50" i="93"/>
  <c r="V51" i="93" s="1"/>
  <c r="R17" i="93"/>
  <c r="S54" i="93"/>
  <c r="V12" i="93"/>
  <c r="Q14" i="93"/>
  <c r="R14" i="93" s="1"/>
  <c r="V15" i="93"/>
  <c r="Q17" i="93"/>
  <c r="V19" i="93"/>
  <c r="P27" i="93"/>
  <c r="Q24" i="93"/>
  <c r="R24" i="93" s="1"/>
  <c r="V25" i="93"/>
  <c r="N41" i="93"/>
  <c r="V32" i="93"/>
  <c r="Q34" i="93"/>
  <c r="R34" i="93" s="1"/>
  <c r="V36" i="93"/>
  <c r="Q38" i="93"/>
  <c r="R38" i="93" s="1"/>
  <c r="V40" i="93"/>
  <c r="Q44" i="93"/>
  <c r="Q47" i="93" s="1"/>
  <c r="Q27" i="94"/>
  <c r="Q54" i="94" s="1"/>
  <c r="R19" i="93"/>
  <c r="R25" i="93"/>
  <c r="R7" i="94"/>
  <c r="R9" i="94" s="1"/>
  <c r="R23" i="94"/>
  <c r="R27" i="94" s="1"/>
  <c r="R30" i="94"/>
  <c r="R41" i="94" s="1"/>
  <c r="T54" i="94"/>
  <c r="R44" i="94"/>
  <c r="R47" i="94" s="1"/>
  <c r="R12" i="94"/>
  <c r="R20" i="94" s="1"/>
  <c r="R50" i="94"/>
  <c r="R51" i="94" s="1"/>
  <c r="G54" i="93"/>
  <c r="K9" i="93"/>
  <c r="O54" i="93"/>
  <c r="K27" i="93"/>
  <c r="R35" i="93"/>
  <c r="T9" i="93"/>
  <c r="T20" i="93"/>
  <c r="T27" i="93"/>
  <c r="T41" i="93"/>
  <c r="P47" i="93"/>
  <c r="Q9" i="93"/>
  <c r="Q12" i="93"/>
  <c r="Q23" i="93"/>
  <c r="Q30" i="93"/>
  <c r="K49" i="92"/>
  <c r="K50" i="92" s="1"/>
  <c r="K44" i="92"/>
  <c r="K45" i="92"/>
  <c r="K43" i="92"/>
  <c r="K30" i="92"/>
  <c r="K31" i="92"/>
  <c r="K32" i="92"/>
  <c r="K33" i="92"/>
  <c r="K34" i="92"/>
  <c r="K35" i="92"/>
  <c r="K36" i="92"/>
  <c r="K37" i="92"/>
  <c r="K38" i="92"/>
  <c r="K39" i="92"/>
  <c r="K29" i="92"/>
  <c r="K12" i="92"/>
  <c r="K13" i="92"/>
  <c r="K14" i="92"/>
  <c r="K15" i="92"/>
  <c r="K16" i="92"/>
  <c r="K17" i="92"/>
  <c r="K18" i="92"/>
  <c r="K11" i="92"/>
  <c r="K7" i="92"/>
  <c r="K6" i="92"/>
  <c r="K23" i="92"/>
  <c r="K24" i="92"/>
  <c r="K25" i="92"/>
  <c r="K22" i="92"/>
  <c r="H15" i="92"/>
  <c r="E19" i="92"/>
  <c r="H7" i="92"/>
  <c r="E8" i="92"/>
  <c r="J50" i="92"/>
  <c r="M49" i="92"/>
  <c r="M50" i="92" s="1"/>
  <c r="E50" i="92"/>
  <c r="J46" i="92"/>
  <c r="I46" i="92"/>
  <c r="F46" i="92"/>
  <c r="M45" i="92"/>
  <c r="N45" i="92" s="1"/>
  <c r="H45" i="92"/>
  <c r="M44" i="92"/>
  <c r="N44" i="92" s="1"/>
  <c r="H44" i="92"/>
  <c r="M43" i="92"/>
  <c r="E46" i="92"/>
  <c r="J40" i="92"/>
  <c r="G40" i="92"/>
  <c r="M39" i="92"/>
  <c r="N39" i="92" s="1"/>
  <c r="H39" i="92"/>
  <c r="M38" i="92"/>
  <c r="N38" i="92" s="1"/>
  <c r="H38" i="92"/>
  <c r="M37" i="92"/>
  <c r="N37" i="92" s="1"/>
  <c r="H37" i="92"/>
  <c r="M36" i="92"/>
  <c r="N36" i="92" s="1"/>
  <c r="H36" i="92"/>
  <c r="M35" i="92"/>
  <c r="N35" i="92" s="1"/>
  <c r="H35" i="92"/>
  <c r="M34" i="92"/>
  <c r="N34" i="92" s="1"/>
  <c r="H34" i="92"/>
  <c r="M33" i="92"/>
  <c r="N33" i="92" s="1"/>
  <c r="H33" i="92"/>
  <c r="M32" i="92"/>
  <c r="N32" i="92" s="1"/>
  <c r="H32" i="92"/>
  <c r="M31" i="92"/>
  <c r="N31" i="92" s="1"/>
  <c r="H31" i="92"/>
  <c r="M30" i="92"/>
  <c r="N30" i="92" s="1"/>
  <c r="H30" i="92"/>
  <c r="M29" i="92"/>
  <c r="E40" i="92"/>
  <c r="J26" i="92"/>
  <c r="M25" i="92"/>
  <c r="N25" i="92" s="1"/>
  <c r="H25" i="92"/>
  <c r="M24" i="92"/>
  <c r="N24" i="92" s="1"/>
  <c r="I26" i="92"/>
  <c r="H24" i="92"/>
  <c r="M23" i="92"/>
  <c r="N23" i="92" s="1"/>
  <c r="H23" i="92"/>
  <c r="M22" i="92"/>
  <c r="N22" i="92" s="1"/>
  <c r="E26" i="92"/>
  <c r="J19" i="92"/>
  <c r="M18" i="92"/>
  <c r="N18" i="92" s="1"/>
  <c r="H18" i="92"/>
  <c r="M17" i="92"/>
  <c r="N17" i="92" s="1"/>
  <c r="H17" i="92"/>
  <c r="M16" i="92"/>
  <c r="N16" i="92" s="1"/>
  <c r="H16" i="92"/>
  <c r="M15" i="92"/>
  <c r="N15" i="92" s="1"/>
  <c r="M14" i="92"/>
  <c r="N14" i="92" s="1"/>
  <c r="H14" i="92"/>
  <c r="M13" i="92"/>
  <c r="N13" i="92" s="1"/>
  <c r="H13" i="92"/>
  <c r="M12" i="92"/>
  <c r="N12" i="92" s="1"/>
  <c r="H12" i="92"/>
  <c r="M11" i="92"/>
  <c r="N11" i="92" s="1"/>
  <c r="J8" i="92"/>
  <c r="M7" i="92"/>
  <c r="N7" i="92" s="1"/>
  <c r="M6" i="92"/>
  <c r="N6" i="92" s="1"/>
  <c r="I8" i="92"/>
  <c r="P16" i="91"/>
  <c r="Q27" i="93" l="1"/>
  <c r="N54" i="93"/>
  <c r="U54" i="93"/>
  <c r="V41" i="93"/>
  <c r="V54" i="93" s="1"/>
  <c r="V20" i="93"/>
  <c r="P54" i="93"/>
  <c r="V27" i="93"/>
  <c r="R50" i="93"/>
  <c r="R51" i="93" s="1"/>
  <c r="T54" i="93"/>
  <c r="R44" i="93"/>
  <c r="R47" i="93" s="1"/>
  <c r="M46" i="92"/>
  <c r="L33" i="92"/>
  <c r="Q41" i="93"/>
  <c r="K54" i="93"/>
  <c r="N49" i="92"/>
  <c r="N50" i="92" s="1"/>
  <c r="R54" i="94"/>
  <c r="Q20" i="93"/>
  <c r="R12" i="93"/>
  <c r="R20" i="93" s="1"/>
  <c r="R30" i="93"/>
  <c r="R41" i="93" s="1"/>
  <c r="R9" i="93"/>
  <c r="R23" i="93"/>
  <c r="R27" i="93" s="1"/>
  <c r="L18" i="92"/>
  <c r="L44" i="92"/>
  <c r="L23" i="92"/>
  <c r="M8" i="92"/>
  <c r="J53" i="92"/>
  <c r="N26" i="92"/>
  <c r="N19" i="92"/>
  <c r="L13" i="92"/>
  <c r="M40" i="92"/>
  <c r="K46" i="92"/>
  <c r="L45" i="92"/>
  <c r="L32" i="92"/>
  <c r="L36" i="92"/>
  <c r="L37" i="92"/>
  <c r="L38" i="92"/>
  <c r="L39" i="92"/>
  <c r="L35" i="92"/>
  <c r="H11" i="92"/>
  <c r="H19" i="92" s="1"/>
  <c r="L17" i="92"/>
  <c r="H6" i="92"/>
  <c r="H8" i="92" s="1"/>
  <c r="L30" i="92"/>
  <c r="L34" i="92"/>
  <c r="L25" i="92"/>
  <c r="K19" i="92"/>
  <c r="L15" i="92"/>
  <c r="L16" i="92"/>
  <c r="L7" i="92"/>
  <c r="E53" i="92"/>
  <c r="L12" i="92"/>
  <c r="K40" i="92"/>
  <c r="L14" i="92"/>
  <c r="L31" i="92"/>
  <c r="N8" i="92"/>
  <c r="I19" i="92"/>
  <c r="M19" i="92"/>
  <c r="K8" i="92"/>
  <c r="L11" i="92"/>
  <c r="L24" i="92"/>
  <c r="H29" i="92"/>
  <c r="N29" i="92"/>
  <c r="N40" i="92" s="1"/>
  <c r="H43" i="92"/>
  <c r="N43" i="92"/>
  <c r="N46" i="92" s="1"/>
  <c r="H49" i="92"/>
  <c r="M26" i="92"/>
  <c r="M53" i="92" s="1"/>
  <c r="I40" i="92"/>
  <c r="I50" i="92"/>
  <c r="H22" i="92"/>
  <c r="T50" i="91"/>
  <c r="T46" i="91"/>
  <c r="T45" i="91"/>
  <c r="T44" i="91"/>
  <c r="T40" i="91"/>
  <c r="T39" i="91"/>
  <c r="T38" i="91"/>
  <c r="T37" i="91"/>
  <c r="T36" i="91"/>
  <c r="T35" i="91"/>
  <c r="T34" i="91"/>
  <c r="T33" i="91"/>
  <c r="T32" i="91"/>
  <c r="T31" i="91"/>
  <c r="T30" i="91"/>
  <c r="T26" i="91"/>
  <c r="T25" i="91"/>
  <c r="T24" i="91"/>
  <c r="T23" i="91"/>
  <c r="T13" i="91"/>
  <c r="T14" i="91"/>
  <c r="T15" i="91"/>
  <c r="T16" i="91"/>
  <c r="T17" i="91"/>
  <c r="T18" i="91"/>
  <c r="T19" i="91"/>
  <c r="T12" i="91"/>
  <c r="T8" i="91"/>
  <c r="T7" i="91"/>
  <c r="Q54" i="93" l="1"/>
  <c r="R54" i="93"/>
  <c r="I53" i="92"/>
  <c r="K26" i="92"/>
  <c r="K53" i="92" s="1"/>
  <c r="L6" i="92"/>
  <c r="L8" i="92" s="1"/>
  <c r="L19" i="92"/>
  <c r="L43" i="92"/>
  <c r="L46" i="92" s="1"/>
  <c r="H46" i="92"/>
  <c r="N53" i="92"/>
  <c r="H26" i="92"/>
  <c r="L22" i="92"/>
  <c r="L26" i="92" s="1"/>
  <c r="H50" i="92"/>
  <c r="L49" i="92"/>
  <c r="L50" i="92" s="1"/>
  <c r="L29" i="92"/>
  <c r="L40" i="92" s="1"/>
  <c r="H40" i="92"/>
  <c r="P8" i="91"/>
  <c r="P7" i="91"/>
  <c r="U32" i="91"/>
  <c r="N23" i="91"/>
  <c r="N14" i="91"/>
  <c r="N15" i="91"/>
  <c r="N16" i="91"/>
  <c r="Q16" i="91" s="1"/>
  <c r="N17" i="91"/>
  <c r="N18" i="91"/>
  <c r="N19" i="91"/>
  <c r="U8" i="91"/>
  <c r="N7" i="91"/>
  <c r="L53" i="92" l="1"/>
  <c r="H53" i="92"/>
  <c r="P9" i="91"/>
  <c r="Q7" i="91"/>
  <c r="P14" i="91" l="1"/>
  <c r="Q14" i="91" s="1"/>
  <c r="O51" i="91"/>
  <c r="M51" i="91"/>
  <c r="L51" i="91"/>
  <c r="J51" i="91"/>
  <c r="I51" i="91"/>
  <c r="G51" i="91"/>
  <c r="E51" i="91"/>
  <c r="U50" i="91"/>
  <c r="U51" i="91" s="1"/>
  <c r="T51" i="91"/>
  <c r="P50" i="91"/>
  <c r="P51" i="91" s="1"/>
  <c r="N50" i="91"/>
  <c r="K50" i="91"/>
  <c r="O47" i="91"/>
  <c r="M47" i="91"/>
  <c r="L47" i="91"/>
  <c r="J47" i="91"/>
  <c r="I47" i="91"/>
  <c r="H47" i="91"/>
  <c r="G47" i="91"/>
  <c r="E47" i="91"/>
  <c r="U46" i="91"/>
  <c r="P46" i="91"/>
  <c r="N46" i="91"/>
  <c r="K46" i="91"/>
  <c r="U45" i="91"/>
  <c r="P45" i="91"/>
  <c r="N45" i="91"/>
  <c r="K45" i="91"/>
  <c r="U44" i="91"/>
  <c r="T47" i="91"/>
  <c r="S47" i="91"/>
  <c r="P44" i="91"/>
  <c r="N44" i="91"/>
  <c r="K44" i="91"/>
  <c r="O41" i="91"/>
  <c r="M41" i="91"/>
  <c r="L41" i="91"/>
  <c r="J41" i="91"/>
  <c r="I41" i="91"/>
  <c r="G41" i="91"/>
  <c r="E41" i="91"/>
  <c r="U40" i="91"/>
  <c r="V40" i="91" s="1"/>
  <c r="P40" i="91"/>
  <c r="N40" i="91"/>
  <c r="K40" i="91"/>
  <c r="U39" i="91"/>
  <c r="P39" i="91"/>
  <c r="N39" i="91"/>
  <c r="K39" i="91"/>
  <c r="U38" i="91"/>
  <c r="V38" i="91" s="1"/>
  <c r="P38" i="91"/>
  <c r="Q38" i="91" s="1"/>
  <c r="N38" i="91"/>
  <c r="K38" i="91"/>
  <c r="U37" i="91"/>
  <c r="P37" i="91"/>
  <c r="N37" i="91"/>
  <c r="K37" i="91"/>
  <c r="U36" i="91"/>
  <c r="V36" i="91" s="1"/>
  <c r="P36" i="91"/>
  <c r="N36" i="91"/>
  <c r="K36" i="91"/>
  <c r="U35" i="91"/>
  <c r="P35" i="91"/>
  <c r="N35" i="91"/>
  <c r="K35" i="91"/>
  <c r="U34" i="91"/>
  <c r="P34" i="91"/>
  <c r="N34" i="91"/>
  <c r="K34" i="91"/>
  <c r="U33" i="91"/>
  <c r="P33" i="91"/>
  <c r="N33" i="91"/>
  <c r="K33" i="91"/>
  <c r="V32" i="91"/>
  <c r="P32" i="91"/>
  <c r="N32" i="91"/>
  <c r="K32" i="91"/>
  <c r="U31" i="91"/>
  <c r="P31" i="91"/>
  <c r="N31" i="91"/>
  <c r="K31" i="91"/>
  <c r="U30" i="91"/>
  <c r="P30" i="91"/>
  <c r="N30" i="91"/>
  <c r="K30" i="91"/>
  <c r="O27" i="91"/>
  <c r="M27" i="91"/>
  <c r="L27" i="91"/>
  <c r="J27" i="91"/>
  <c r="I27" i="91"/>
  <c r="G27" i="91"/>
  <c r="E27" i="91"/>
  <c r="U26" i="91"/>
  <c r="P26" i="91"/>
  <c r="N26" i="91"/>
  <c r="K26" i="91"/>
  <c r="U25" i="91"/>
  <c r="P25" i="91"/>
  <c r="N25" i="91"/>
  <c r="K25" i="91"/>
  <c r="U24" i="91"/>
  <c r="P24" i="91"/>
  <c r="N24" i="91"/>
  <c r="K24" i="91"/>
  <c r="U23" i="91"/>
  <c r="P23" i="91"/>
  <c r="K23" i="91"/>
  <c r="O20" i="91"/>
  <c r="M20" i="91"/>
  <c r="L20" i="91"/>
  <c r="J20" i="91"/>
  <c r="I20" i="91"/>
  <c r="G20" i="91"/>
  <c r="E20" i="91"/>
  <c r="U19" i="91"/>
  <c r="P19" i="91"/>
  <c r="Q19" i="91" s="1"/>
  <c r="K19" i="91"/>
  <c r="U18" i="91"/>
  <c r="V18" i="91"/>
  <c r="P18" i="91"/>
  <c r="Q18" i="91" s="1"/>
  <c r="K18" i="91"/>
  <c r="U17" i="91"/>
  <c r="P17" i="91"/>
  <c r="Q17" i="91" s="1"/>
  <c r="K17" i="91"/>
  <c r="U16" i="91"/>
  <c r="K16" i="91"/>
  <c r="U15" i="91"/>
  <c r="P15" i="91"/>
  <c r="Q15" i="91" s="1"/>
  <c r="K15" i="91"/>
  <c r="U14" i="91"/>
  <c r="K14" i="91"/>
  <c r="U13" i="91"/>
  <c r="P13" i="91"/>
  <c r="N13" i="91"/>
  <c r="K13" i="91"/>
  <c r="U12" i="91"/>
  <c r="P12" i="91"/>
  <c r="N12" i="91"/>
  <c r="K12" i="91"/>
  <c r="O9" i="91"/>
  <c r="M9" i="91"/>
  <c r="L9" i="91"/>
  <c r="J9" i="91"/>
  <c r="J54" i="91" s="1"/>
  <c r="I9" i="91"/>
  <c r="G9" i="91"/>
  <c r="E9" i="91"/>
  <c r="N8" i="91"/>
  <c r="K8" i="91"/>
  <c r="U7" i="91"/>
  <c r="U9" i="91" s="1"/>
  <c r="K7" i="91"/>
  <c r="R7" i="91" s="1"/>
  <c r="G54" i="91" l="1"/>
  <c r="N51" i="91"/>
  <c r="Q50" i="91"/>
  <c r="Q51" i="91" s="1"/>
  <c r="L54" i="91"/>
  <c r="N41" i="91"/>
  <c r="Q36" i="91"/>
  <c r="R36" i="91" s="1"/>
  <c r="Q46" i="91"/>
  <c r="Q24" i="91"/>
  <c r="R24" i="91" s="1"/>
  <c r="Q40" i="91"/>
  <c r="R40" i="91" s="1"/>
  <c r="N9" i="91"/>
  <c r="Q8" i="91"/>
  <c r="R8" i="91" s="1"/>
  <c r="I54" i="91"/>
  <c r="V14" i="91"/>
  <c r="N27" i="91"/>
  <c r="S41" i="91"/>
  <c r="S27" i="91"/>
  <c r="U47" i="91"/>
  <c r="Q45" i="91"/>
  <c r="P47" i="91"/>
  <c r="V45" i="91"/>
  <c r="Q39" i="91"/>
  <c r="R39" i="91" s="1"/>
  <c r="V35" i="91"/>
  <c r="Q35" i="91"/>
  <c r="R35" i="91" s="1"/>
  <c r="U41" i="91"/>
  <c r="V33" i="91"/>
  <c r="Q32" i="91"/>
  <c r="R32" i="91" s="1"/>
  <c r="Q30" i="91"/>
  <c r="R30" i="91" s="1"/>
  <c r="P41" i="91"/>
  <c r="U27" i="91"/>
  <c r="P27" i="91"/>
  <c r="V13" i="91"/>
  <c r="Q13" i="91"/>
  <c r="R13" i="91" s="1"/>
  <c r="T9" i="91"/>
  <c r="P20" i="91"/>
  <c r="V19" i="91"/>
  <c r="R17" i="91"/>
  <c r="U20" i="91"/>
  <c r="V17" i="91"/>
  <c r="R16" i="91"/>
  <c r="V16" i="91"/>
  <c r="K20" i="91"/>
  <c r="N47" i="91"/>
  <c r="Q37" i="91"/>
  <c r="Q34" i="91"/>
  <c r="R34" i="91" s="1"/>
  <c r="Q33" i="91"/>
  <c r="R33" i="91" s="1"/>
  <c r="Q26" i="91"/>
  <c r="R26" i="91" s="1"/>
  <c r="Q25" i="91"/>
  <c r="R25" i="91" s="1"/>
  <c r="N20" i="91"/>
  <c r="R19" i="91"/>
  <c r="V50" i="91"/>
  <c r="V51" i="91" s="1"/>
  <c r="V46" i="91"/>
  <c r="R46" i="91"/>
  <c r="R45" i="91"/>
  <c r="K47" i="91"/>
  <c r="V39" i="91"/>
  <c r="R38" i="91"/>
  <c r="V37" i="91"/>
  <c r="T41" i="91"/>
  <c r="K41" i="91"/>
  <c r="V31" i="91"/>
  <c r="V26" i="91"/>
  <c r="V25" i="91"/>
  <c r="T27" i="91"/>
  <c r="K27" i="91"/>
  <c r="V24" i="91"/>
  <c r="O54" i="91"/>
  <c r="M54" i="91"/>
  <c r="K9" i="91"/>
  <c r="V8" i="91"/>
  <c r="V7" i="91"/>
  <c r="V34" i="91"/>
  <c r="S20" i="91"/>
  <c r="V44" i="91"/>
  <c r="E54" i="91"/>
  <c r="T20" i="91"/>
  <c r="R15" i="91"/>
  <c r="V15" i="91"/>
  <c r="R14" i="91"/>
  <c r="R18" i="91"/>
  <c r="V23" i="91"/>
  <c r="V30" i="91"/>
  <c r="Q31" i="91"/>
  <c r="R31" i="91" s="1"/>
  <c r="K51" i="91"/>
  <c r="S51" i="91"/>
  <c r="S9" i="91"/>
  <c r="V12" i="91"/>
  <c r="Q44" i="91"/>
  <c r="Q12" i="91"/>
  <c r="Q20" i="91" s="1"/>
  <c r="Q23" i="91"/>
  <c r="R50" i="91" l="1"/>
  <c r="R51" i="91" s="1"/>
  <c r="T54" i="91"/>
  <c r="N54" i="91"/>
  <c r="V9" i="91"/>
  <c r="Q47" i="91"/>
  <c r="P54" i="91"/>
  <c r="Q41" i="91"/>
  <c r="Q27" i="91"/>
  <c r="V47" i="91"/>
  <c r="V27" i="91"/>
  <c r="R37" i="91"/>
  <c r="R41" i="91" s="1"/>
  <c r="V41" i="91"/>
  <c r="K54" i="91"/>
  <c r="R12" i="91"/>
  <c r="R20" i="91" s="1"/>
  <c r="Q9" i="91"/>
  <c r="U54" i="91"/>
  <c r="V20" i="91"/>
  <c r="R44" i="91"/>
  <c r="R47" i="91" s="1"/>
  <c r="R9" i="91"/>
  <c r="S54" i="91"/>
  <c r="R23" i="91"/>
  <c r="R27" i="91" s="1"/>
  <c r="Q54" i="91" l="1"/>
  <c r="V54" i="91"/>
  <c r="R54" i="91"/>
  <c r="O51" i="90" l="1"/>
  <c r="M51" i="90"/>
  <c r="L51" i="90"/>
  <c r="J51" i="90"/>
  <c r="I51" i="90"/>
  <c r="G51" i="90"/>
  <c r="E51" i="90"/>
  <c r="U50" i="90"/>
  <c r="U51" i="90" s="1"/>
  <c r="T50" i="90"/>
  <c r="T51" i="90" s="1"/>
  <c r="S50" i="90"/>
  <c r="P50" i="90"/>
  <c r="P51" i="90" s="1"/>
  <c r="N50" i="90"/>
  <c r="N51" i="90" s="1"/>
  <c r="K50" i="90"/>
  <c r="K51" i="90" s="1"/>
  <c r="O47" i="90"/>
  <c r="M47" i="90"/>
  <c r="L47" i="90"/>
  <c r="J47" i="90"/>
  <c r="I47" i="90"/>
  <c r="H47" i="90"/>
  <c r="G47" i="90"/>
  <c r="E47" i="90"/>
  <c r="U46" i="90"/>
  <c r="T46" i="90"/>
  <c r="S46" i="90"/>
  <c r="P46" i="90"/>
  <c r="N46" i="90"/>
  <c r="K46" i="90"/>
  <c r="U45" i="90"/>
  <c r="T45" i="90"/>
  <c r="S45" i="90"/>
  <c r="P45" i="90"/>
  <c r="N45" i="90"/>
  <c r="K45" i="90"/>
  <c r="U44" i="90"/>
  <c r="T44" i="90"/>
  <c r="S44" i="90"/>
  <c r="P44" i="90"/>
  <c r="N44" i="90"/>
  <c r="K44" i="90"/>
  <c r="K47" i="90" s="1"/>
  <c r="O41" i="90"/>
  <c r="M41" i="90"/>
  <c r="L41" i="90"/>
  <c r="J41" i="90"/>
  <c r="I41" i="90"/>
  <c r="G41" i="90"/>
  <c r="E41" i="90"/>
  <c r="U40" i="90"/>
  <c r="T40" i="90"/>
  <c r="S40" i="90"/>
  <c r="P40" i="90"/>
  <c r="N40" i="90"/>
  <c r="K40" i="90"/>
  <c r="U39" i="90"/>
  <c r="T39" i="90"/>
  <c r="S39" i="90"/>
  <c r="P39" i="90"/>
  <c r="N39" i="90"/>
  <c r="K39" i="90"/>
  <c r="U38" i="90"/>
  <c r="T38" i="90"/>
  <c r="S38" i="90"/>
  <c r="P38" i="90"/>
  <c r="N38" i="90"/>
  <c r="K38" i="90"/>
  <c r="U37" i="90"/>
  <c r="T37" i="90"/>
  <c r="S37" i="90"/>
  <c r="P37" i="90"/>
  <c r="N37" i="90"/>
  <c r="K37" i="90"/>
  <c r="U36" i="90"/>
  <c r="T36" i="90"/>
  <c r="S36" i="90"/>
  <c r="P36" i="90"/>
  <c r="N36" i="90"/>
  <c r="K36" i="90"/>
  <c r="U35" i="90"/>
  <c r="T35" i="90"/>
  <c r="S35" i="90"/>
  <c r="P35" i="90"/>
  <c r="N35" i="90"/>
  <c r="K35" i="90"/>
  <c r="U34" i="90"/>
  <c r="T34" i="90"/>
  <c r="S34" i="90"/>
  <c r="P34" i="90"/>
  <c r="N34" i="90"/>
  <c r="K34" i="90"/>
  <c r="U33" i="90"/>
  <c r="T33" i="90"/>
  <c r="S33" i="90"/>
  <c r="P33" i="90"/>
  <c r="N33" i="90"/>
  <c r="K33" i="90"/>
  <c r="U32" i="90"/>
  <c r="T32" i="90"/>
  <c r="S32" i="90"/>
  <c r="P32" i="90"/>
  <c r="N32" i="90"/>
  <c r="K32" i="90"/>
  <c r="U31" i="90"/>
  <c r="T31" i="90"/>
  <c r="S31" i="90"/>
  <c r="P31" i="90"/>
  <c r="N31" i="90"/>
  <c r="K31" i="90"/>
  <c r="U30" i="90"/>
  <c r="T30" i="90"/>
  <c r="S30" i="90"/>
  <c r="P30" i="90"/>
  <c r="N30" i="90"/>
  <c r="K30" i="90"/>
  <c r="O27" i="90"/>
  <c r="M27" i="90"/>
  <c r="L27" i="90"/>
  <c r="J27" i="90"/>
  <c r="I27" i="90"/>
  <c r="G27" i="90"/>
  <c r="E27" i="90"/>
  <c r="U26" i="90"/>
  <c r="T26" i="90"/>
  <c r="S26" i="90"/>
  <c r="P26" i="90"/>
  <c r="N26" i="90"/>
  <c r="K26" i="90"/>
  <c r="U25" i="90"/>
  <c r="T25" i="90"/>
  <c r="S25" i="90"/>
  <c r="P25" i="90"/>
  <c r="N25" i="90"/>
  <c r="K25" i="90"/>
  <c r="U24" i="90"/>
  <c r="T24" i="90"/>
  <c r="S24" i="90"/>
  <c r="P24" i="90"/>
  <c r="N24" i="90"/>
  <c r="K24" i="90"/>
  <c r="U23" i="90"/>
  <c r="T23" i="90"/>
  <c r="S23" i="90"/>
  <c r="P23" i="90"/>
  <c r="N23" i="90"/>
  <c r="K23" i="90"/>
  <c r="O20" i="90"/>
  <c r="M20" i="90"/>
  <c r="L20" i="90"/>
  <c r="J20" i="90"/>
  <c r="I20" i="90"/>
  <c r="G20" i="90"/>
  <c r="E20" i="90"/>
  <c r="U19" i="90"/>
  <c r="T19" i="90"/>
  <c r="S19" i="90"/>
  <c r="P19" i="90"/>
  <c r="N19" i="90"/>
  <c r="K19" i="90"/>
  <c r="U18" i="90"/>
  <c r="T18" i="90"/>
  <c r="S18" i="90"/>
  <c r="P18" i="90"/>
  <c r="N18" i="90"/>
  <c r="K18" i="90"/>
  <c r="U17" i="90"/>
  <c r="T17" i="90"/>
  <c r="S17" i="90"/>
  <c r="P17" i="90"/>
  <c r="N17" i="90"/>
  <c r="K17" i="90"/>
  <c r="U16" i="90"/>
  <c r="T16" i="90"/>
  <c r="S16" i="90"/>
  <c r="P16" i="90"/>
  <c r="N16" i="90"/>
  <c r="K16" i="90"/>
  <c r="U15" i="90"/>
  <c r="T15" i="90"/>
  <c r="S15" i="90"/>
  <c r="P15" i="90"/>
  <c r="N15" i="90"/>
  <c r="K15" i="90"/>
  <c r="U14" i="90"/>
  <c r="T14" i="90"/>
  <c r="S14" i="90"/>
  <c r="P14" i="90"/>
  <c r="N14" i="90"/>
  <c r="K14" i="90"/>
  <c r="U13" i="90"/>
  <c r="T13" i="90"/>
  <c r="S13" i="90"/>
  <c r="P13" i="90"/>
  <c r="N13" i="90"/>
  <c r="K13" i="90"/>
  <c r="U12" i="90"/>
  <c r="T12" i="90"/>
  <c r="S12" i="90"/>
  <c r="P12" i="90"/>
  <c r="N12" i="90"/>
  <c r="K12" i="90"/>
  <c r="O9" i="90"/>
  <c r="M9" i="90"/>
  <c r="L9" i="90"/>
  <c r="J9" i="90"/>
  <c r="I9" i="90"/>
  <c r="G9" i="90"/>
  <c r="E9" i="90"/>
  <c r="U8" i="90"/>
  <c r="T8" i="90"/>
  <c r="S8" i="90"/>
  <c r="P8" i="90"/>
  <c r="N8" i="90"/>
  <c r="K8" i="90"/>
  <c r="U7" i="90"/>
  <c r="T7" i="90"/>
  <c r="S7" i="90"/>
  <c r="P7" i="90"/>
  <c r="N7" i="90"/>
  <c r="Q7" i="90" s="1"/>
  <c r="K7" i="90"/>
  <c r="P47" i="90" l="1"/>
  <c r="K27" i="90"/>
  <c r="I54" i="90"/>
  <c r="O54" i="90"/>
  <c r="Q13" i="90"/>
  <c r="R13" i="90" s="1"/>
  <c r="Q19" i="90"/>
  <c r="R19" i="90" s="1"/>
  <c r="Q30" i="90"/>
  <c r="Q32" i="90"/>
  <c r="Q40" i="90"/>
  <c r="R40" i="90" s="1"/>
  <c r="N27" i="90"/>
  <c r="U47" i="90"/>
  <c r="V50" i="90"/>
  <c r="V51" i="90" s="1"/>
  <c r="P9" i="90"/>
  <c r="Q14" i="90"/>
  <c r="R14" i="90" s="1"/>
  <c r="Q37" i="90"/>
  <c r="V40" i="90"/>
  <c r="R7" i="90"/>
  <c r="Q8" i="90"/>
  <c r="Q9" i="90" s="1"/>
  <c r="U9" i="90"/>
  <c r="Q17" i="90"/>
  <c r="Q26" i="90"/>
  <c r="R26" i="90" s="1"/>
  <c r="K41" i="90"/>
  <c r="T41" i="90"/>
  <c r="R32" i="90"/>
  <c r="V32" i="90"/>
  <c r="Q33" i="90"/>
  <c r="R33" i="90" s="1"/>
  <c r="V45" i="90"/>
  <c r="N47" i="90"/>
  <c r="Q50" i="90"/>
  <c r="Q51" i="90" s="1"/>
  <c r="Q18" i="90"/>
  <c r="V24" i="90"/>
  <c r="Q25" i="90"/>
  <c r="Q36" i="90"/>
  <c r="Q45" i="90"/>
  <c r="J54" i="90"/>
  <c r="V14" i="90"/>
  <c r="U20" i="90"/>
  <c r="V16" i="90"/>
  <c r="P27" i="90"/>
  <c r="U41" i="90"/>
  <c r="V31" i="90"/>
  <c r="V34" i="90"/>
  <c r="Q35" i="90"/>
  <c r="R35" i="90" s="1"/>
  <c r="R37" i="90"/>
  <c r="Q38" i="90"/>
  <c r="R38" i="90" s="1"/>
  <c r="V39" i="90"/>
  <c r="Q44" i="90"/>
  <c r="R44" i="90" s="1"/>
  <c r="R45" i="90"/>
  <c r="R50" i="90"/>
  <c r="R51" i="90" s="1"/>
  <c r="N9" i="90"/>
  <c r="L54" i="90"/>
  <c r="N20" i="90"/>
  <c r="V13" i="90"/>
  <c r="Q15" i="90"/>
  <c r="R15" i="90" s="1"/>
  <c r="R18" i="90"/>
  <c r="V18" i="90"/>
  <c r="Q24" i="90"/>
  <c r="R24" i="90" s="1"/>
  <c r="P41" i="90"/>
  <c r="R36" i="90"/>
  <c r="V36" i="90"/>
  <c r="V46" i="90"/>
  <c r="U27" i="90"/>
  <c r="G54" i="90"/>
  <c r="M54" i="90"/>
  <c r="Q16" i="90"/>
  <c r="R16" i="90" s="1"/>
  <c r="V17" i="90"/>
  <c r="T27" i="90"/>
  <c r="R25" i="90"/>
  <c r="V25" i="90"/>
  <c r="N41" i="90"/>
  <c r="Q34" i="90"/>
  <c r="R34" i="90" s="1"/>
  <c r="V35" i="90"/>
  <c r="V38" i="90"/>
  <c r="Q39" i="90"/>
  <c r="R39" i="90" s="1"/>
  <c r="T20" i="90"/>
  <c r="E54" i="90"/>
  <c r="K20" i="90"/>
  <c r="P20" i="90"/>
  <c r="V26" i="90"/>
  <c r="S41" i="90"/>
  <c r="S9" i="90"/>
  <c r="S20" i="90"/>
  <c r="V19" i="90"/>
  <c r="S27" i="90"/>
  <c r="V33" i="90"/>
  <c r="S47" i="90"/>
  <c r="V8" i="90"/>
  <c r="V37" i="90"/>
  <c r="V7" i="90"/>
  <c r="V15" i="90"/>
  <c r="V44" i="90"/>
  <c r="R17" i="90"/>
  <c r="K9" i="90"/>
  <c r="V12" i="90"/>
  <c r="V23" i="90"/>
  <c r="R30" i="90"/>
  <c r="V30" i="90"/>
  <c r="Q31" i="90"/>
  <c r="Q46" i="90"/>
  <c r="T47" i="90"/>
  <c r="S51" i="90"/>
  <c r="T9" i="90"/>
  <c r="Q12" i="90"/>
  <c r="Q23" i="90"/>
  <c r="R23" i="90" s="1"/>
  <c r="V47" i="90" l="1"/>
  <c r="R8" i="90"/>
  <c r="R9" i="90" s="1"/>
  <c r="U54" i="90"/>
  <c r="Q20" i="90"/>
  <c r="Q47" i="90"/>
  <c r="V27" i="90"/>
  <c r="P54" i="90"/>
  <c r="N54" i="90"/>
  <c r="T54" i="90"/>
  <c r="Q41" i="90"/>
  <c r="R27" i="90"/>
  <c r="R31" i="90"/>
  <c r="Q27" i="90"/>
  <c r="K54" i="90"/>
  <c r="S54" i="90"/>
  <c r="V9" i="90"/>
  <c r="V20" i="90"/>
  <c r="V41" i="90"/>
  <c r="R46" i="90"/>
  <c r="R47" i="90" s="1"/>
  <c r="R41" i="90"/>
  <c r="R12" i="90"/>
  <c r="R20" i="90" s="1"/>
  <c r="Q54" i="90" l="1"/>
  <c r="R54" i="90"/>
  <c r="V54" i="90"/>
</calcChain>
</file>

<file path=xl/sharedStrings.xml><?xml version="1.0" encoding="utf-8"?>
<sst xmlns="http://schemas.openxmlformats.org/spreadsheetml/2006/main" count="3884" uniqueCount="231">
  <si>
    <t>Nombramiento</t>
  </si>
  <si>
    <t>Jefe de Operación</t>
  </si>
  <si>
    <t>Asistente de Dirección</t>
  </si>
  <si>
    <t>Auxiliar General</t>
  </si>
  <si>
    <t>IMSS PATRONAL</t>
  </si>
  <si>
    <t>Código</t>
  </si>
  <si>
    <t>Empleado</t>
  </si>
  <si>
    <t>Sueldo</t>
  </si>
  <si>
    <t>*TOTAL* *PERCEPCIONES*</t>
  </si>
  <si>
    <t>I.S.R. (sp)</t>
  </si>
  <si>
    <t>Pensiones del Estado</t>
  </si>
  <si>
    <t>*TOTAL* *DEDUCCIONES*</t>
  </si>
  <si>
    <t>SEDAR PAT. PENSIONES DEL ESTADO</t>
  </si>
  <si>
    <t>DEPARTAMENTO 1</t>
  </si>
  <si>
    <t>DIRECCION GENERAL</t>
  </si>
  <si>
    <t>DG01</t>
  </si>
  <si>
    <t>Méndez González Gabriela Elizabeth</t>
  </si>
  <si>
    <t>DG02</t>
  </si>
  <si>
    <t>Serratos Briones Paula Amparo</t>
  </si>
  <si>
    <t>Directora General</t>
  </si>
  <si>
    <t>TOTAL DEPARTAMENTO</t>
  </si>
  <si>
    <t>DEPARTAMENTO 2</t>
  </si>
  <si>
    <t>JEFATURA ADMINISTRATIVA</t>
  </si>
  <si>
    <t>JA04</t>
  </si>
  <si>
    <t>JA05</t>
  </si>
  <si>
    <t>JA06</t>
  </si>
  <si>
    <t>JA07</t>
  </si>
  <si>
    <t>JA08</t>
  </si>
  <si>
    <t>Gómez Alcántar Verónica María</t>
  </si>
  <si>
    <t>Ruvalcaba Velarde Zuria Paulina</t>
  </si>
  <si>
    <t>García De la Torre Elizabeth Antonia</t>
  </si>
  <si>
    <t>DEPARTAMENTO 4</t>
  </si>
  <si>
    <t>AREA ESPECIALIDADES</t>
  </si>
  <si>
    <t>DEPARTAMENTO 5</t>
  </si>
  <si>
    <t>AREA TALLERES</t>
  </si>
  <si>
    <t>*NETO A PAGAR*</t>
  </si>
  <si>
    <t>*OBLIGACIONES PATRONALES*</t>
  </si>
  <si>
    <t>Coordinador (administrativo)</t>
  </si>
  <si>
    <t>Licenciatura (DI)</t>
  </si>
  <si>
    <t>Lizardi Rodríguez Araceli María</t>
  </si>
  <si>
    <t>Martínez Ibarra José de Jesús</t>
  </si>
  <si>
    <t>Fajardo Gómez José Abraham</t>
  </si>
  <si>
    <t>Silva Díaz Angélica Araceli</t>
  </si>
  <si>
    <t>Zúñiga Reynaga Yolanda</t>
  </si>
  <si>
    <t>Ledezma Lazcarro Cinthia Nataly</t>
  </si>
  <si>
    <t>Arriaga Gómez Mariana</t>
  </si>
  <si>
    <t>Plascencia González Paola Viridiana</t>
  </si>
  <si>
    <t>Flores Orozco Carolina</t>
  </si>
  <si>
    <t>Cantera Ramírez Ana Elizabeth</t>
  </si>
  <si>
    <t>Tiscareño Padilla Blanca Rubí</t>
  </si>
  <si>
    <t>González Cruz Fabiola</t>
  </si>
  <si>
    <t>Rivas Guzmán Ana Karen</t>
  </si>
  <si>
    <t>Córdova Camarena María de Jesús</t>
  </si>
  <si>
    <t>Ortiz Anguiano Nélida Guadalupe</t>
  </si>
  <si>
    <t>Sánchez Raygoza Fabiola Yolanda</t>
  </si>
  <si>
    <t>Morales Rubio Perla Liliana</t>
  </si>
  <si>
    <t>TOTALES</t>
  </si>
  <si>
    <t>Subsidio al empleo</t>
  </si>
  <si>
    <t>Flores Pozos Julio Cesar</t>
  </si>
  <si>
    <t>Flores Lopez Marisol</t>
  </si>
  <si>
    <t>JA09</t>
  </si>
  <si>
    <t>JA10</t>
  </si>
  <si>
    <t>JA11</t>
  </si>
  <si>
    <t>AM13</t>
  </si>
  <si>
    <t>AF14</t>
  </si>
  <si>
    <t>AF15</t>
  </si>
  <si>
    <t>AE16</t>
  </si>
  <si>
    <t>AE17</t>
  </si>
  <si>
    <t>AE18</t>
  </si>
  <si>
    <t>AE19</t>
  </si>
  <si>
    <t>AE20</t>
  </si>
  <si>
    <t>AE21</t>
  </si>
  <si>
    <t>AE22</t>
  </si>
  <si>
    <t>AE23</t>
  </si>
  <si>
    <t>AE24</t>
  </si>
  <si>
    <t>AE25</t>
  </si>
  <si>
    <t>AE26</t>
  </si>
  <si>
    <t>AT27</t>
  </si>
  <si>
    <t>DEPARTAMENTO 6</t>
  </si>
  <si>
    <t xml:space="preserve">I.S.R. </t>
  </si>
  <si>
    <t>DIAS LABORADOS</t>
  </si>
  <si>
    <t>AT28</t>
  </si>
  <si>
    <t>VERONICA MARIA GOMEZ ALCANTAR</t>
  </si>
  <si>
    <t>AREA MEDICA Y FISICA</t>
  </si>
  <si>
    <t>DEPARTAMENTO 7</t>
  </si>
  <si>
    <t>JEFATURA DE OPERACIÓN</t>
  </si>
  <si>
    <t>JO03</t>
  </si>
  <si>
    <t xml:space="preserve">DESCUENTO </t>
  </si>
  <si>
    <t>DEVOLUCION RETROACTIVA DE APORTACION A PENSIONES</t>
  </si>
  <si>
    <t>DEESCUENTO POR NOMINA</t>
  </si>
  <si>
    <t xml:space="preserve">                 </t>
  </si>
  <si>
    <t xml:space="preserve">HECTOR HUGO VELAZQUEZ </t>
  </si>
  <si>
    <t xml:space="preserve">Hector Hugo Velazquez Hernandez </t>
  </si>
  <si>
    <t xml:space="preserve">PRESTAMO PENSIONES </t>
  </si>
  <si>
    <t xml:space="preserve">DEVOLUCION </t>
  </si>
  <si>
    <t>Codigo</t>
  </si>
  <si>
    <t>Nombre del empleado</t>
  </si>
  <si>
    <t>NOMBRE DE LA PLAZA</t>
  </si>
  <si>
    <t xml:space="preserve">DPTO </t>
  </si>
  <si>
    <t>SALARIO DIARIO</t>
  </si>
  <si>
    <t xml:space="preserve">1131 SUELDO BASE AL PERSONAL PERMANENTE MENSUAL </t>
  </si>
  <si>
    <t>1322 GRATIFICACIÓN DE FIN DE AÑO (Aguinaldo)</t>
  </si>
  <si>
    <t xml:space="preserve">ANTICIPO DE AGUINALDO </t>
  </si>
  <si>
    <t xml:space="preserve">FALTAS </t>
  </si>
  <si>
    <t xml:space="preserve">1322 GRATIFICACIÓN DE FIN DE AÑO (Aguinaldo)  NETO </t>
  </si>
  <si>
    <t>1322 GRATIFICACIÓN DE FIN DE AÑO (Subsidio al ISR de Aguinaldo)</t>
  </si>
  <si>
    <t>CUOTAS A  PENSIONES  (IPEJAL 11.5% MAS 6.0% ADICIONAL)</t>
  </si>
  <si>
    <t>AT29</t>
  </si>
  <si>
    <t>Garcia Navarro Ruth</t>
  </si>
  <si>
    <t xml:space="preserve">Terapeuta </t>
  </si>
  <si>
    <t>Alatorre Rea Walter</t>
  </si>
  <si>
    <t>Alvaro Oropeza Anabel</t>
  </si>
  <si>
    <t>AF12</t>
  </si>
  <si>
    <t xml:space="preserve">Alvarado Solorio Estefania </t>
  </si>
  <si>
    <t>Jefe de Departamento</t>
  </si>
  <si>
    <t xml:space="preserve">Contador </t>
  </si>
  <si>
    <t>Abogado</t>
  </si>
  <si>
    <t xml:space="preserve">Conserje </t>
  </si>
  <si>
    <t>Auxilia Servicios Generales</t>
  </si>
  <si>
    <t xml:space="preserve">Intendente </t>
  </si>
  <si>
    <t xml:space="preserve">Enfermero </t>
  </si>
  <si>
    <t>Terapeuta Físico</t>
  </si>
  <si>
    <t>Terapeuta (DM)</t>
  </si>
  <si>
    <t xml:space="preserve">Coordinador Especialidades </t>
  </si>
  <si>
    <t>Psicólogo</t>
  </si>
  <si>
    <t>Terapeuta (A y L)</t>
  </si>
  <si>
    <t>Trabajador Social</t>
  </si>
  <si>
    <t>Terapeuta  (DM)</t>
  </si>
  <si>
    <t>Terapeuta  (DI)</t>
  </si>
  <si>
    <t xml:space="preserve">QUINCENAS </t>
  </si>
  <si>
    <t>Coordinadora Talleres</t>
  </si>
  <si>
    <t>RETROACTIVO</t>
  </si>
  <si>
    <t>Medico</t>
  </si>
  <si>
    <t>Terapista Fisico</t>
  </si>
  <si>
    <t>Terapista Físico</t>
  </si>
  <si>
    <t>Terapeuta (DI)</t>
  </si>
  <si>
    <t>Coordinador Talleres</t>
  </si>
  <si>
    <t xml:space="preserve">Alvaro Oropeza Anabel </t>
  </si>
  <si>
    <t xml:space="preserve">Garcia Navarro Ruth </t>
  </si>
  <si>
    <t>1RA QUINCENA ENERO  2018</t>
  </si>
  <si>
    <t>2DA QUINCENA ENERO  2018</t>
  </si>
  <si>
    <t xml:space="preserve">AJUSTE AL NETO </t>
  </si>
  <si>
    <t>RETROACTIVO DE ENERO 2018</t>
  </si>
  <si>
    <t>1RA QUINCENA FEBRERO  2018</t>
  </si>
  <si>
    <t>2DA QUINCENA FEBRERO  2018</t>
  </si>
  <si>
    <t>PRIMA VACAIONAL     25%</t>
  </si>
  <si>
    <t>2RA QUINCENA MARZO  2018</t>
  </si>
  <si>
    <t>2DA QUINCENA MARZO  2018</t>
  </si>
  <si>
    <t>DESCUENTO FALTAS</t>
  </si>
  <si>
    <t>1RA QUINCENA ABRIL  2018</t>
  </si>
  <si>
    <t>AE30</t>
  </si>
  <si>
    <t>AE31</t>
  </si>
  <si>
    <t>AE32</t>
  </si>
  <si>
    <t>Karla Angélica González Angulo</t>
  </si>
  <si>
    <t>Iyari Villegas Ramirez</t>
  </si>
  <si>
    <t>Maribel Montero Jauregui</t>
  </si>
  <si>
    <t>AT33</t>
  </si>
  <si>
    <t>AT34</t>
  </si>
  <si>
    <t>AT35</t>
  </si>
  <si>
    <t>Aura Cynthia Chamery Grajeda</t>
  </si>
  <si>
    <t xml:space="preserve">Especialista en Terapia de Desarrollo de Habilidades </t>
  </si>
  <si>
    <t xml:space="preserve">Adriana Margarita Ruiz Castorena </t>
  </si>
  <si>
    <t xml:space="preserve">Martin Ledezma Valdivia </t>
  </si>
  <si>
    <t>2DA QUINCENA ABRIL  2018</t>
  </si>
  <si>
    <t>Jorge Daniel Garcia Guzman</t>
  </si>
  <si>
    <t>Flores Orozco Carolina(Licencia)</t>
  </si>
  <si>
    <t>1RA QUINCENA MAYO  2018</t>
  </si>
  <si>
    <t>Chamery Grajeda Aura Cynthia</t>
  </si>
  <si>
    <t>Ruiz Castorena Adriana Margarita</t>
  </si>
  <si>
    <t>Ledezma Valdivia Martin</t>
  </si>
  <si>
    <t>Garcia Guzman Jorge Daniel</t>
  </si>
  <si>
    <t>González Angulo Karla Angélica</t>
  </si>
  <si>
    <t>Villegas Ramirez Iyari</t>
  </si>
  <si>
    <t>Montero Jauregui Maribel</t>
  </si>
  <si>
    <t>Velazquez Hernandez Hector Hugo</t>
  </si>
  <si>
    <t>2DA QUINCENA MAYO  2018</t>
  </si>
  <si>
    <t>1RA QUINCENA JUNIO  2018</t>
  </si>
  <si>
    <t>2DA QUINCENA JUNIO  2018</t>
  </si>
  <si>
    <t>1RA QUINCENA JULIO  2018</t>
  </si>
  <si>
    <t xml:space="preserve">   </t>
  </si>
  <si>
    <t>2DA QUINCENA JULIO  2018</t>
  </si>
  <si>
    <t>1RA QUINCENA AGOSTO  2018</t>
  </si>
  <si>
    <t>2DA QUINCENA AGOSTO  2018</t>
  </si>
  <si>
    <t xml:space="preserve">Reyes Nava Vanessa Gabriela </t>
  </si>
  <si>
    <t xml:space="preserve">GABRIELA ELIZABETH MENDEZ GONZALEZ  </t>
  </si>
  <si>
    <t>ESTIMULO AL  SERVIDOR PUBLICO 2018</t>
  </si>
  <si>
    <t>1RA QUINCENA SEPTIEMBRE  2018</t>
  </si>
  <si>
    <t>JA39</t>
  </si>
  <si>
    <t xml:space="preserve">Recepcionista </t>
  </si>
  <si>
    <t xml:space="preserve">Cynthia Mayela Bañuelos Estrada </t>
  </si>
  <si>
    <t>2DA QUINCENA SEPTIEMBRE  2018</t>
  </si>
  <si>
    <t xml:space="preserve">Loera Gonzalez Gabriela Marisol </t>
  </si>
  <si>
    <t>Pamela de Jesus Chavez Paz</t>
  </si>
  <si>
    <t>Neri Ruiz Pedro</t>
  </si>
  <si>
    <t>Moreno Cruz Cesar Roberto</t>
  </si>
  <si>
    <t xml:space="preserve">Neri Garcia Criselda </t>
  </si>
  <si>
    <t xml:space="preserve">Pineda Cibrian Laura Lizeth </t>
  </si>
  <si>
    <t>Bañuelos Estrada Cinthya Mayela</t>
  </si>
  <si>
    <t>AE36</t>
  </si>
  <si>
    <t xml:space="preserve">Rios Ramos Dulce Maria Paulina </t>
  </si>
  <si>
    <t xml:space="preserve">Marisol Valdez Becerra </t>
  </si>
  <si>
    <t>1RA QUINCENA OCTUBRE  2018</t>
  </si>
  <si>
    <t xml:space="preserve">GABRIELA MARISOL LOERA GONZALEZ </t>
  </si>
  <si>
    <t>Mora Mora Laura Monica</t>
  </si>
  <si>
    <t>2DA QUINCENA OCTUBRE  2018</t>
  </si>
  <si>
    <t>Navarro Sarabia Diana Cristina</t>
  </si>
  <si>
    <t xml:space="preserve">DESCUENTO FALTAS Y RETARDOS  </t>
  </si>
  <si>
    <t>1RA QUINCENA NOVIEMBRE  2018</t>
  </si>
  <si>
    <t>AE37</t>
  </si>
  <si>
    <t>AE38</t>
  </si>
  <si>
    <t>Monitor</t>
  </si>
  <si>
    <t xml:space="preserve">Garcia Guzman Jorge Daniel </t>
  </si>
  <si>
    <t xml:space="preserve">Tabarez Renteria Jovanny Gabriel </t>
  </si>
  <si>
    <t>JA40</t>
  </si>
  <si>
    <t xml:space="preserve">Perez Gonzalez Maria Laura </t>
  </si>
  <si>
    <t>JA41</t>
  </si>
  <si>
    <t>2DA QUINCENA NOVIEMBRE  2018</t>
  </si>
  <si>
    <t xml:space="preserve">Nieves Servin Diego Alberto </t>
  </si>
  <si>
    <t>Lopez Aranda Lisette Amparo</t>
  </si>
  <si>
    <t xml:space="preserve">Flores Orozco Carolina </t>
  </si>
  <si>
    <t xml:space="preserve">Ortiz Anguiano Nélida Guadalupe </t>
  </si>
  <si>
    <t>Mora Mora Laura Maria</t>
  </si>
  <si>
    <t xml:space="preserve">González Angulo Karla Angélica </t>
  </si>
  <si>
    <t>Tabarez Renteria Jovanny Gabriel</t>
  </si>
  <si>
    <t xml:space="preserve">Monitor </t>
  </si>
  <si>
    <t>Reyes Nava Vanessa Gabriela</t>
  </si>
  <si>
    <t>Especialista en Terapia de Desarrollo de Habilidades</t>
  </si>
  <si>
    <t>AGUINALDO 2018</t>
  </si>
  <si>
    <t>1RA QUINCENA DICIEMBRE  2018</t>
  </si>
  <si>
    <t>2DA QUINCENA DICIEMBRE  2018</t>
  </si>
  <si>
    <t>25% 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</si>
</sst>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1F497D"/>
      <name val="Cambria"/>
      <family val="2"/>
      <charset val="1"/>
    </font>
    <font>
      <sz val="8"/>
      <name val="Arial"/>
      <family val="2"/>
      <charset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sz val="8"/>
      <color rgb="FF0070C0"/>
      <name val="Arial"/>
      <family val="2"/>
      <charset val="1"/>
    </font>
    <font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5" tint="-0.249977111117893"/>
      </left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367">
    <xf numFmtId="0" fontId="0" fillId="0" borderId="0" xfId="0"/>
    <xf numFmtId="44" fontId="0" fillId="0" borderId="0" xfId="1" applyFont="1" applyFill="1"/>
    <xf numFmtId="0" fontId="3" fillId="4" borderId="8" xfId="0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2" fillId="9" borderId="0" xfId="0" applyNumberFormat="1" applyFont="1" applyFill="1"/>
    <xf numFmtId="0" fontId="0" fillId="0" borderId="0" xfId="0" applyFont="1" applyFill="1"/>
    <xf numFmtId="0" fontId="2" fillId="0" borderId="0" xfId="0" applyFont="1" applyFill="1" applyBorder="1" applyAlignment="1"/>
    <xf numFmtId="0" fontId="12" fillId="0" borderId="0" xfId="0" applyFont="1" applyFill="1"/>
    <xf numFmtId="0" fontId="13" fillId="0" borderId="0" xfId="0" applyFont="1" applyFill="1"/>
    <xf numFmtId="164" fontId="11" fillId="0" borderId="4" xfId="2" applyNumberFormat="1" applyFont="1" applyFill="1" applyBorder="1"/>
    <xf numFmtId="164" fontId="14" fillId="0" borderId="4" xfId="2" applyNumberFormat="1" applyFont="1" applyFill="1" applyBorder="1"/>
    <xf numFmtId="43" fontId="1" fillId="0" borderId="0" xfId="2" applyFont="1" applyFill="1"/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0" fillId="0" borderId="0" xfId="0" applyFont="1" applyFill="1" applyAlignment="1">
      <alignment horizontal="left"/>
    </xf>
    <xf numFmtId="43" fontId="17" fillId="0" borderId="0" xfId="2" applyFont="1" applyFill="1" applyBorder="1"/>
    <xf numFmtId="0" fontId="12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0" xfId="0" applyFont="1" applyFill="1"/>
    <xf numFmtId="9" fontId="17" fillId="0" borderId="4" xfId="3" applyFont="1" applyFill="1" applyBorder="1" applyAlignment="1">
      <alignment horizontal="center"/>
    </xf>
    <xf numFmtId="43" fontId="1" fillId="0" borderId="0" xfId="2" applyFont="1" applyFill="1" applyBorder="1"/>
    <xf numFmtId="4" fontId="0" fillId="0" borderId="0" xfId="0" applyNumberFormat="1" applyFont="1" applyFill="1" applyBorder="1"/>
    <xf numFmtId="0" fontId="0" fillId="0" borderId="0" xfId="0" applyFont="1" applyFill="1" applyBorder="1"/>
    <xf numFmtId="43" fontId="0" fillId="0" borderId="0" xfId="0" applyNumberFormat="1" applyFont="1" applyFill="1" applyBorder="1"/>
    <xf numFmtId="3" fontId="0" fillId="0" borderId="0" xfId="0" applyNumberFormat="1" applyFont="1" applyFill="1" applyBorder="1"/>
    <xf numFmtId="164" fontId="0" fillId="0" borderId="0" xfId="0" applyNumberFormat="1" applyFont="1" applyFill="1" applyBorder="1"/>
    <xf numFmtId="165" fontId="0" fillId="0" borderId="0" xfId="1" applyNumberFormat="1" applyFont="1" applyFill="1" applyBorder="1"/>
    <xf numFmtId="2" fontId="0" fillId="0" borderId="0" xfId="0" applyNumberFormat="1" applyFill="1"/>
    <xf numFmtId="0" fontId="8" fillId="0" borderId="0" xfId="0" applyFont="1" applyFill="1"/>
    <xf numFmtId="0" fontId="9" fillId="0" borderId="0" xfId="0" applyFont="1"/>
    <xf numFmtId="4" fontId="7" fillId="0" borderId="0" xfId="0" applyNumberFormat="1" applyFont="1" applyAlignment="1">
      <alignment horizontal="center"/>
    </xf>
    <xf numFmtId="0" fontId="20" fillId="0" borderId="0" xfId="0" applyFont="1"/>
    <xf numFmtId="4" fontId="20" fillId="0" borderId="0" xfId="0" applyNumberFormat="1" applyFont="1"/>
    <xf numFmtId="4" fontId="21" fillId="0" borderId="0" xfId="0" applyNumberFormat="1" applyFont="1"/>
    <xf numFmtId="49" fontId="23" fillId="4" borderId="16" xfId="0" applyNumberFormat="1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4" fontId="23" fillId="4" borderId="0" xfId="0" applyNumberFormat="1" applyFont="1" applyFill="1" applyBorder="1" applyAlignment="1">
      <alignment horizontal="center" vertical="center" wrapText="1"/>
    </xf>
    <xf numFmtId="4" fontId="23" fillId="4" borderId="9" xfId="0" applyNumberFormat="1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4" fontId="23" fillId="4" borderId="7" xfId="0" applyNumberFormat="1" applyFont="1" applyFill="1" applyBorder="1" applyAlignment="1">
      <alignment horizontal="center" vertical="center" wrapText="1"/>
    </xf>
    <xf numFmtId="4" fontId="24" fillId="4" borderId="17" xfId="0" applyNumberFormat="1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Border="1"/>
    <xf numFmtId="0" fontId="25" fillId="0" borderId="11" xfId="0" applyFont="1" applyBorder="1"/>
    <xf numFmtId="4" fontId="20" fillId="0" borderId="7" xfId="0" applyNumberFormat="1" applyFont="1" applyBorder="1"/>
    <xf numFmtId="0" fontId="21" fillId="0" borderId="0" xfId="0" applyFont="1" applyFill="1"/>
    <xf numFmtId="2" fontId="20" fillId="0" borderId="0" xfId="0" applyNumberFormat="1" applyFont="1" applyFill="1"/>
    <xf numFmtId="44" fontId="20" fillId="6" borderId="0" xfId="0" applyNumberFormat="1" applyFont="1" applyFill="1"/>
    <xf numFmtId="4" fontId="27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44" fontId="29" fillId="5" borderId="0" xfId="1" applyFont="1" applyFill="1"/>
    <xf numFmtId="44" fontId="26" fillId="5" borderId="0" xfId="1" applyFont="1" applyFill="1"/>
    <xf numFmtId="0" fontId="21" fillId="0" borderId="0" xfId="0" applyFont="1"/>
    <xf numFmtId="4" fontId="30" fillId="0" borderId="0" xfId="0" applyNumberFormat="1" applyFont="1"/>
    <xf numFmtId="0" fontId="25" fillId="0" borderId="0" xfId="0" applyFont="1"/>
    <xf numFmtId="4" fontId="20" fillId="0" borderId="0" xfId="0" applyNumberFormat="1" applyFont="1" applyFill="1"/>
    <xf numFmtId="4" fontId="20" fillId="0" borderId="0" xfId="0" applyNumberFormat="1" applyFont="1" applyBorder="1"/>
    <xf numFmtId="4" fontId="31" fillId="0" borderId="0" xfId="1" applyNumberFormat="1" applyFont="1"/>
    <xf numFmtId="4" fontId="22" fillId="0" borderId="0" xfId="1" applyNumberFormat="1" applyFont="1"/>
    <xf numFmtId="44" fontId="31" fillId="0" borderId="0" xfId="1" applyFont="1"/>
    <xf numFmtId="0" fontId="30" fillId="0" borderId="0" xfId="0" applyFont="1"/>
    <xf numFmtId="0" fontId="26" fillId="0" borderId="0" xfId="0" applyFont="1" applyAlignment="1">
      <alignment horizontal="right"/>
    </xf>
    <xf numFmtId="4" fontId="26" fillId="0" borderId="0" xfId="0" applyNumberFormat="1" applyFont="1"/>
    <xf numFmtId="4" fontId="26" fillId="2" borderId="4" xfId="0" applyNumberFormat="1" applyFont="1" applyFill="1" applyBorder="1"/>
    <xf numFmtId="4" fontId="26" fillId="6" borderId="4" xfId="0" applyNumberFormat="1" applyFont="1" applyFill="1" applyBorder="1"/>
    <xf numFmtId="0" fontId="20" fillId="0" borderId="2" xfId="0" applyFont="1" applyBorder="1" applyAlignment="1">
      <alignment horizontal="center"/>
    </xf>
    <xf numFmtId="3" fontId="20" fillId="0" borderId="0" xfId="0" applyNumberFormat="1" applyFont="1" applyAlignment="1">
      <alignment horizontal="center"/>
    </xf>
    <xf numFmtId="44" fontId="29" fillId="5" borderId="0" xfId="1" applyFont="1" applyFill="1" applyAlignment="1">
      <alignment horizontal="center"/>
    </xf>
    <xf numFmtId="4" fontId="20" fillId="0" borderId="0" xfId="0" applyNumberFormat="1" applyFont="1" applyAlignment="1">
      <alignment horizontal="center"/>
    </xf>
    <xf numFmtId="0" fontId="32" fillId="0" borderId="0" xfId="0" applyFont="1"/>
    <xf numFmtId="4" fontId="32" fillId="0" borderId="0" xfId="0" applyNumberFormat="1" applyFont="1"/>
    <xf numFmtId="49" fontId="34" fillId="4" borderId="1" xfId="0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4" fontId="34" fillId="4" borderId="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5" fillId="0" borderId="0" xfId="0" applyFont="1"/>
    <xf numFmtId="0" fontId="32" fillId="0" borderId="0" xfId="0" applyFont="1" applyFill="1"/>
    <xf numFmtId="4" fontId="36" fillId="11" borderId="0" xfId="0" applyNumberFormat="1" applyFont="1" applyFill="1"/>
    <xf numFmtId="0" fontId="35" fillId="0" borderId="0" xfId="0" applyFont="1" applyAlignment="1">
      <alignment horizontal="left"/>
    </xf>
    <xf numFmtId="0" fontId="36" fillId="0" borderId="0" xfId="0" applyFont="1"/>
    <xf numFmtId="44" fontId="36" fillId="5" borderId="0" xfId="1" applyFont="1" applyFill="1"/>
    <xf numFmtId="0" fontId="37" fillId="0" borderId="0" xfId="0" applyFont="1"/>
    <xf numFmtId="4" fontId="32" fillId="0" borderId="0" xfId="0" applyNumberFormat="1" applyFont="1" applyAlignment="1">
      <alignment horizontal="center"/>
    </xf>
    <xf numFmtId="0" fontId="38" fillId="0" borderId="0" xfId="0" applyFont="1" applyFill="1"/>
    <xf numFmtId="0" fontId="38" fillId="0" borderId="0" xfId="0" applyFont="1"/>
    <xf numFmtId="4" fontId="32" fillId="0" borderId="0" xfId="0" applyNumberFormat="1" applyFont="1" applyBorder="1"/>
    <xf numFmtId="4" fontId="39" fillId="0" borderId="0" xfId="1" applyNumberFormat="1" applyFont="1"/>
    <xf numFmtId="0" fontId="40" fillId="0" borderId="0" xfId="0" applyFont="1" applyAlignment="1">
      <alignment horizontal="right"/>
    </xf>
    <xf numFmtId="4" fontId="40" fillId="0" borderId="0" xfId="0" applyNumberFormat="1" applyFont="1"/>
    <xf numFmtId="0" fontId="32" fillId="0" borderId="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Border="1"/>
    <xf numFmtId="0" fontId="41" fillId="0" borderId="0" xfId="0" applyFont="1"/>
    <xf numFmtId="4" fontId="41" fillId="0" borderId="0" xfId="0" applyNumberFormat="1" applyFont="1"/>
    <xf numFmtId="4" fontId="42" fillId="0" borderId="0" xfId="0" applyNumberFormat="1" applyFont="1"/>
    <xf numFmtId="49" fontId="44" fillId="4" borderId="16" xfId="0" applyNumberFormat="1" applyFont="1" applyFill="1" applyBorder="1" applyAlignment="1">
      <alignment horizontal="center" vertical="center" wrapText="1"/>
    </xf>
    <xf numFmtId="0" fontId="44" fillId="4" borderId="15" xfId="0" applyFont="1" applyFill="1" applyBorder="1" applyAlignment="1">
      <alignment horizontal="center" vertical="center" wrapText="1"/>
    </xf>
    <xf numFmtId="0" fontId="44" fillId="4" borderId="10" xfId="0" applyFont="1" applyFill="1" applyBorder="1" applyAlignment="1">
      <alignment horizontal="center" vertical="center" wrapText="1"/>
    </xf>
    <xf numFmtId="4" fontId="44" fillId="4" borderId="0" xfId="0" applyNumberFormat="1" applyFont="1" applyFill="1" applyBorder="1" applyAlignment="1">
      <alignment horizontal="center" vertical="center" wrapText="1"/>
    </xf>
    <xf numFmtId="4" fontId="44" fillId="4" borderId="9" xfId="0" applyNumberFormat="1" applyFont="1" applyFill="1" applyBorder="1" applyAlignment="1">
      <alignment horizontal="center" vertical="center" wrapText="1"/>
    </xf>
    <xf numFmtId="0" fontId="44" fillId="4" borderId="14" xfId="0" applyFont="1" applyFill="1" applyBorder="1" applyAlignment="1">
      <alignment horizontal="center" vertical="center" wrapText="1"/>
    </xf>
    <xf numFmtId="0" fontId="44" fillId="4" borderId="13" xfId="0" applyFont="1" applyFill="1" applyBorder="1" applyAlignment="1">
      <alignment horizontal="center" vertical="center" wrapText="1"/>
    </xf>
    <xf numFmtId="0" fontId="44" fillId="4" borderId="8" xfId="0" applyFont="1" applyFill="1" applyBorder="1" applyAlignment="1">
      <alignment horizontal="center" vertical="center" wrapText="1"/>
    </xf>
    <xf numFmtId="0" fontId="44" fillId="4" borderId="9" xfId="0" applyFont="1" applyFill="1" applyBorder="1" applyAlignment="1">
      <alignment horizontal="center" vertical="center" wrapText="1"/>
    </xf>
    <xf numFmtId="4" fontId="44" fillId="4" borderId="8" xfId="0" applyNumberFormat="1" applyFont="1" applyFill="1" applyBorder="1" applyAlignment="1">
      <alignment horizontal="center" vertical="center" wrapText="1"/>
    </xf>
    <xf numFmtId="4" fontId="44" fillId="4" borderId="12" xfId="0" applyNumberFormat="1" applyFont="1" applyFill="1" applyBorder="1" applyAlignment="1">
      <alignment horizontal="center" vertical="center" wrapText="1"/>
    </xf>
    <xf numFmtId="4" fontId="44" fillId="4" borderId="7" xfId="0" applyNumberFormat="1" applyFont="1" applyFill="1" applyBorder="1" applyAlignment="1">
      <alignment horizontal="center" vertical="center" wrapText="1"/>
    </xf>
    <xf numFmtId="4" fontId="45" fillId="4" borderId="17" xfId="0" applyNumberFormat="1" applyFont="1" applyFill="1" applyBorder="1" applyAlignment="1">
      <alignment horizontal="center" vertical="center" wrapText="1"/>
    </xf>
    <xf numFmtId="0" fontId="44" fillId="4" borderId="17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6" fillId="0" borderId="0" xfId="0" applyFont="1" applyBorder="1"/>
    <xf numFmtId="0" fontId="46" fillId="0" borderId="11" xfId="0" applyFont="1" applyBorder="1"/>
    <xf numFmtId="4" fontId="41" fillId="0" borderId="7" xfId="0" applyNumberFormat="1" applyFont="1" applyBorder="1"/>
    <xf numFmtId="4" fontId="41" fillId="0" borderId="11" xfId="0" applyNumberFormat="1" applyFont="1" applyBorder="1"/>
    <xf numFmtId="0" fontId="42" fillId="0" borderId="0" xfId="0" applyFont="1" applyFill="1"/>
    <xf numFmtId="0" fontId="41" fillId="0" borderId="0" xfId="0" applyNumberFormat="1" applyFont="1" applyAlignment="1">
      <alignment horizontal="center"/>
    </xf>
    <xf numFmtId="4" fontId="41" fillId="2" borderId="0" xfId="0" applyNumberFormat="1" applyFont="1" applyFill="1"/>
    <xf numFmtId="2" fontId="41" fillId="0" borderId="0" xfId="0" applyNumberFormat="1" applyFont="1" applyFill="1"/>
    <xf numFmtId="44" fontId="41" fillId="6" borderId="0" xfId="0" applyNumberFormat="1" applyFont="1" applyFill="1"/>
    <xf numFmtId="4" fontId="48" fillId="0" borderId="0" xfId="0" applyNumberFormat="1" applyFont="1" applyAlignment="1">
      <alignment horizontal="center"/>
    </xf>
    <xf numFmtId="0" fontId="46" fillId="0" borderId="0" xfId="0" applyFont="1" applyAlignment="1">
      <alignment horizontal="left"/>
    </xf>
    <xf numFmtId="0" fontId="49" fillId="0" borderId="0" xfId="0" applyFont="1"/>
    <xf numFmtId="0" fontId="50" fillId="0" borderId="0" xfId="0" applyFont="1"/>
    <xf numFmtId="44" fontId="50" fillId="5" borderId="0" xfId="1" applyFont="1" applyFill="1"/>
    <xf numFmtId="44" fontId="47" fillId="5" borderId="0" xfId="1" applyFont="1" applyFill="1"/>
    <xf numFmtId="0" fontId="42" fillId="0" borderId="0" xfId="0" applyFont="1"/>
    <xf numFmtId="4" fontId="51" fillId="0" borderId="0" xfId="0" applyNumberFormat="1" applyFont="1"/>
    <xf numFmtId="0" fontId="46" fillId="0" borderId="0" xfId="0" applyFont="1"/>
    <xf numFmtId="4" fontId="48" fillId="0" borderId="0" xfId="1" applyNumberFormat="1" applyFont="1" applyFill="1" applyAlignment="1">
      <alignment horizontal="center"/>
    </xf>
    <xf numFmtId="4" fontId="41" fillId="0" borderId="0" xfId="1" applyNumberFormat="1" applyFont="1"/>
    <xf numFmtId="4" fontId="41" fillId="0" borderId="0" xfId="0" applyNumberFormat="1" applyFont="1" applyFill="1"/>
    <xf numFmtId="4" fontId="41" fillId="0" borderId="0" xfId="0" applyNumberFormat="1" applyFont="1" applyBorder="1"/>
    <xf numFmtId="4" fontId="48" fillId="0" borderId="0" xfId="0" applyNumberFormat="1" applyFont="1" applyFill="1"/>
    <xf numFmtId="4" fontId="48" fillId="0" borderId="0" xfId="0" applyNumberFormat="1" applyFont="1" applyFill="1" applyAlignment="1">
      <alignment horizontal="center"/>
    </xf>
    <xf numFmtId="4" fontId="48" fillId="0" borderId="0" xfId="1" applyNumberFormat="1" applyFont="1" applyFill="1"/>
    <xf numFmtId="4" fontId="52" fillId="0" borderId="0" xfId="1" applyNumberFormat="1" applyFont="1"/>
    <xf numFmtId="4" fontId="43" fillId="0" borderId="0" xfId="1" applyNumberFormat="1" applyFont="1"/>
    <xf numFmtId="44" fontId="52" fillId="0" borderId="0" xfId="1" applyFont="1"/>
    <xf numFmtId="0" fontId="51" fillId="0" borderId="0" xfId="0" applyFont="1"/>
    <xf numFmtId="0" fontId="47" fillId="0" borderId="0" xfId="0" applyFont="1" applyAlignment="1">
      <alignment horizontal="right"/>
    </xf>
    <xf numFmtId="4" fontId="47" fillId="0" borderId="0" xfId="0" applyNumberFormat="1" applyFont="1"/>
    <xf numFmtId="4" fontId="47" fillId="8" borderId="0" xfId="0" applyNumberFormat="1" applyFont="1" applyFill="1"/>
    <xf numFmtId="4" fontId="47" fillId="2" borderId="4" xfId="0" applyNumberFormat="1" applyFont="1" applyFill="1" applyBorder="1"/>
    <xf numFmtId="4" fontId="47" fillId="6" borderId="4" xfId="0" applyNumberFormat="1" applyFont="1" applyFill="1" applyBorder="1"/>
    <xf numFmtId="0" fontId="41" fillId="0" borderId="0" xfId="0" applyFont="1" applyBorder="1"/>
    <xf numFmtId="4" fontId="41" fillId="14" borderId="0" xfId="0" applyNumberFormat="1" applyFont="1" applyFill="1"/>
    <xf numFmtId="2" fontId="41" fillId="14" borderId="0" xfId="0" applyNumberFormat="1" applyFont="1" applyFill="1"/>
    <xf numFmtId="0" fontId="0" fillId="0" borderId="0" xfId="0" applyFont="1"/>
    <xf numFmtId="4" fontId="41" fillId="13" borderId="0" xfId="0" applyNumberFormat="1" applyFont="1" applyFill="1"/>
    <xf numFmtId="0" fontId="41" fillId="0" borderId="0" xfId="0" applyFont="1" applyBorder="1" applyAlignment="1"/>
    <xf numFmtId="0" fontId="41" fillId="0" borderId="2" xfId="0" applyFont="1" applyBorder="1"/>
    <xf numFmtId="0" fontId="41" fillId="0" borderId="0" xfId="0" applyFont="1" applyFill="1"/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4" fontId="47" fillId="10" borderId="0" xfId="0" applyNumberFormat="1" applyFont="1" applyFill="1"/>
    <xf numFmtId="4" fontId="41" fillId="9" borderId="0" xfId="0" applyNumberFormat="1" applyFont="1" applyFill="1"/>
    <xf numFmtId="2" fontId="41" fillId="0" borderId="0" xfId="0" applyNumberFormat="1" applyFont="1"/>
    <xf numFmtId="2" fontId="1" fillId="0" borderId="0" xfId="0" applyNumberFormat="1" applyFont="1" applyFill="1"/>
    <xf numFmtId="4" fontId="53" fillId="2" borderId="0" xfId="0" applyNumberFormat="1" applyFont="1" applyFill="1"/>
    <xf numFmtId="4" fontId="26" fillId="7" borderId="0" xfId="0" applyNumberFormat="1" applyFont="1" applyFill="1"/>
    <xf numFmtId="0" fontId="20" fillId="0" borderId="3" xfId="0" applyFont="1" applyBorder="1" applyAlignment="1"/>
    <xf numFmtId="0" fontId="20" fillId="0" borderId="2" xfId="0" applyFont="1" applyBorder="1"/>
    <xf numFmtId="0" fontId="21" fillId="0" borderId="2" xfId="0" applyFont="1" applyBorder="1"/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4" fontId="41" fillId="10" borderId="0" xfId="0" applyNumberFormat="1" applyFont="1" applyFill="1"/>
    <xf numFmtId="0" fontId="42" fillId="2" borderId="0" xfId="0" applyFont="1" applyFill="1"/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21" fillId="2" borderId="0" xfId="0" applyFont="1" applyFill="1"/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4" fontId="41" fillId="15" borderId="0" xfId="0" applyNumberFormat="1" applyFont="1" applyFill="1"/>
    <xf numFmtId="4" fontId="53" fillId="7" borderId="0" xfId="0" applyNumberFormat="1" applyFont="1" applyFill="1"/>
    <xf numFmtId="0" fontId="42" fillId="7" borderId="0" xfId="0" applyFont="1" applyFill="1"/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4" fontId="53" fillId="10" borderId="0" xfId="0" applyNumberFormat="1" applyFont="1" applyFill="1"/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4" fontId="41" fillId="12" borderId="0" xfId="0" applyNumberFormat="1" applyFont="1" applyFill="1"/>
    <xf numFmtId="0" fontId="49" fillId="0" borderId="0" xfId="0" applyFont="1" applyFill="1"/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44" fontId="19" fillId="5" borderId="0" xfId="1" applyFont="1" applyFill="1"/>
    <xf numFmtId="0" fontId="0" fillId="0" borderId="0" xfId="0" applyFont="1" applyAlignment="1">
      <alignment wrapText="1"/>
    </xf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4" fontId="53" fillId="9" borderId="0" xfId="0" applyNumberFormat="1" applyFont="1" applyFill="1"/>
    <xf numFmtId="0" fontId="2" fillId="9" borderId="0" xfId="0" applyFont="1" applyFill="1"/>
    <xf numFmtId="0" fontId="9" fillId="9" borderId="0" xfId="0" applyFont="1" applyFill="1"/>
    <xf numFmtId="0" fontId="2" fillId="9" borderId="0" xfId="0" applyNumberFormat="1" applyFont="1" applyFill="1" applyAlignment="1">
      <alignment horizontal="center"/>
    </xf>
    <xf numFmtId="4" fontId="7" fillId="9" borderId="0" xfId="1" applyNumberFormat="1" applyFont="1" applyFill="1"/>
    <xf numFmtId="2" fontId="2" fillId="9" borderId="0" xfId="0" applyNumberFormat="1" applyFont="1" applyFill="1"/>
    <xf numFmtId="44" fontId="2" fillId="9" borderId="0" xfId="0" applyNumberFormat="1" applyFont="1" applyFill="1"/>
    <xf numFmtId="4" fontId="53" fillId="13" borderId="0" xfId="0" applyNumberFormat="1" applyFont="1" applyFill="1"/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2" fontId="1" fillId="9" borderId="0" xfId="0" applyNumberFormat="1" applyFont="1" applyFill="1"/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0" fillId="9" borderId="0" xfId="0" applyFont="1" applyFill="1"/>
    <xf numFmtId="0" fontId="8" fillId="9" borderId="0" xfId="0" applyFont="1" applyFill="1"/>
    <xf numFmtId="0" fontId="0" fillId="9" borderId="0" xfId="0" applyFont="1" applyFill="1" applyAlignment="1">
      <alignment wrapText="1"/>
    </xf>
    <xf numFmtId="0" fontId="41" fillId="9" borderId="0" xfId="0" applyNumberFormat="1" applyFont="1" applyFill="1" applyAlignment="1">
      <alignment horizontal="center"/>
    </xf>
    <xf numFmtId="4" fontId="48" fillId="9" borderId="0" xfId="0" applyNumberFormat="1" applyFont="1" applyFill="1" applyAlignment="1">
      <alignment horizontal="center"/>
    </xf>
    <xf numFmtId="2" fontId="41" fillId="9" borderId="0" xfId="0" applyNumberFormat="1" applyFont="1" applyFill="1"/>
    <xf numFmtId="44" fontId="41" fillId="9" borderId="0" xfId="0" applyNumberFormat="1" applyFont="1" applyFill="1"/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4" fontId="53" fillId="8" borderId="0" xfId="0" applyNumberFormat="1" applyFont="1" applyFill="1"/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4" fontId="32" fillId="0" borderId="0" xfId="0" applyNumberFormat="1" applyFont="1" applyFill="1"/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4" fontId="41" fillId="7" borderId="0" xfId="0" applyNumberFormat="1" applyFont="1" applyFill="1"/>
    <xf numFmtId="2" fontId="41" fillId="8" borderId="0" xfId="0" applyNumberFormat="1" applyFont="1" applyFill="1"/>
    <xf numFmtId="0" fontId="41" fillId="8" borderId="0" xfId="0" applyFont="1" applyFill="1"/>
    <xf numFmtId="4" fontId="41" fillId="8" borderId="0" xfId="0" applyNumberFormat="1" applyFont="1" applyFill="1"/>
    <xf numFmtId="0" fontId="0" fillId="8" borderId="0" xfId="0" applyFont="1" applyFill="1"/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2" fontId="41" fillId="7" borderId="0" xfId="0" applyNumberFormat="1" applyFont="1" applyFill="1"/>
    <xf numFmtId="4" fontId="53" fillId="3" borderId="0" xfId="0" applyNumberFormat="1" applyFont="1" applyFill="1"/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4" fontId="53" fillId="6" borderId="0" xfId="0" applyNumberFormat="1" applyFont="1" applyFill="1"/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4" fontId="41" fillId="6" borderId="0" xfId="0" applyNumberFormat="1" applyFont="1" applyFill="1"/>
    <xf numFmtId="4" fontId="53" fillId="0" borderId="0" xfId="0" applyNumberFormat="1" applyFont="1" applyFill="1"/>
    <xf numFmtId="44" fontId="41" fillId="0" borderId="0" xfId="0" applyNumberFormat="1" applyFont="1" applyFill="1"/>
    <xf numFmtId="4" fontId="54" fillId="13" borderId="0" xfId="0" applyNumberFormat="1" applyFont="1" applyFill="1"/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6" fillId="9" borderId="26" xfId="4" applyFont="1" applyFill="1" applyBorder="1" applyAlignment="1" applyProtection="1">
      <alignment horizontal="center" vertical="center" wrapText="1"/>
    </xf>
    <xf numFmtId="0" fontId="6" fillId="9" borderId="27" xfId="4" applyFont="1" applyFill="1" applyBorder="1" applyAlignment="1" applyProtection="1">
      <alignment horizontal="center" vertical="center" wrapText="1"/>
    </xf>
    <xf numFmtId="4" fontId="6" fillId="9" borderId="27" xfId="0" applyNumberFormat="1" applyFont="1" applyFill="1" applyBorder="1" applyAlignment="1">
      <alignment horizontal="center" vertical="center" wrapText="1"/>
    </xf>
    <xf numFmtId="0" fontId="0" fillId="0" borderId="28" xfId="0" applyFill="1" applyBorder="1"/>
    <xf numFmtId="0" fontId="0" fillId="0" borderId="29" xfId="0" applyFill="1" applyBorder="1"/>
    <xf numFmtId="44" fontId="0" fillId="0" borderId="29" xfId="1" applyFont="1" applyFill="1" applyBorder="1"/>
    <xf numFmtId="0" fontId="0" fillId="0" borderId="22" xfId="0" applyFill="1" applyBorder="1"/>
    <xf numFmtId="0" fontId="0" fillId="0" borderId="4" xfId="0" applyFill="1" applyBorder="1"/>
    <xf numFmtId="44" fontId="0" fillId="0" borderId="4" xfId="1" applyFont="1" applyFill="1" applyBorder="1"/>
    <xf numFmtId="0" fontId="0" fillId="0" borderId="4" xfId="0" applyFill="1" applyBorder="1" applyAlignment="1">
      <alignment wrapText="1"/>
    </xf>
    <xf numFmtId="0" fontId="0" fillId="0" borderId="23" xfId="0" applyFill="1" applyBorder="1"/>
    <xf numFmtId="0" fontId="0" fillId="0" borderId="24" xfId="0" applyFill="1" applyBorder="1"/>
    <xf numFmtId="44" fontId="0" fillId="0" borderId="24" xfId="1" applyFont="1" applyFill="1" applyBorder="1"/>
    <xf numFmtId="0" fontId="0" fillId="0" borderId="4" xfId="0" applyFont="1" applyFill="1" applyBorder="1"/>
    <xf numFmtId="0" fontId="0" fillId="0" borderId="24" xfId="0" applyFont="1" applyFill="1" applyBorder="1"/>
    <xf numFmtId="2" fontId="0" fillId="0" borderId="4" xfId="0" applyNumberFormat="1" applyFill="1" applyBorder="1"/>
    <xf numFmtId="44" fontId="1" fillId="0" borderId="4" xfId="1" applyFont="1" applyFill="1" applyBorder="1"/>
    <xf numFmtId="44" fontId="1" fillId="0" borderId="29" xfId="1" applyFont="1" applyFill="1" applyBorder="1"/>
    <xf numFmtId="0" fontId="0" fillId="0" borderId="29" xfId="0" applyFont="1" applyFill="1" applyBorder="1"/>
    <xf numFmtId="44" fontId="1" fillId="0" borderId="4" xfId="1" applyFont="1" applyFill="1" applyBorder="1" applyAlignment="1">
      <alignment wrapText="1"/>
    </xf>
    <xf numFmtId="44" fontId="1" fillId="0" borderId="24" xfId="1" applyFont="1" applyFill="1" applyBorder="1"/>
    <xf numFmtId="44" fontId="2" fillId="2" borderId="29" xfId="0" applyNumberFormat="1" applyFont="1" applyFill="1" applyBorder="1"/>
    <xf numFmtId="44" fontId="2" fillId="2" borderId="4" xfId="0" applyNumberFormat="1" applyFont="1" applyFill="1" applyBorder="1"/>
    <xf numFmtId="44" fontId="2" fillId="2" borderId="24" xfId="0" applyNumberFormat="1" applyFont="1" applyFill="1" applyBorder="1"/>
    <xf numFmtId="44" fontId="0" fillId="0" borderId="30" xfId="1" applyFont="1" applyFill="1" applyBorder="1"/>
    <xf numFmtId="44" fontId="0" fillId="0" borderId="31" xfId="1" applyFont="1" applyFill="1" applyBorder="1"/>
    <xf numFmtId="44" fontId="0" fillId="0" borderId="31" xfId="1" applyFont="1" applyFill="1" applyBorder="1" applyAlignment="1">
      <alignment wrapText="1"/>
    </xf>
    <xf numFmtId="44" fontId="0" fillId="0" borderId="32" xfId="1" applyFont="1" applyFill="1" applyBorder="1"/>
    <xf numFmtId="43" fontId="15" fillId="3" borderId="21" xfId="2" applyNumberFormat="1" applyFont="1" applyFill="1" applyBorder="1"/>
    <xf numFmtId="43" fontId="15" fillId="3" borderId="18" xfId="2" applyNumberFormat="1" applyFont="1" applyFill="1" applyBorder="1"/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3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" fillId="0" borderId="0" xfId="0" applyFont="1"/>
    <xf numFmtId="4" fontId="1" fillId="0" borderId="0" xfId="0" applyNumberFormat="1" applyFont="1"/>
    <xf numFmtId="4" fontId="13" fillId="0" borderId="0" xfId="0" applyNumberFormat="1" applyFont="1"/>
    <xf numFmtId="4" fontId="8" fillId="0" borderId="0" xfId="0" applyNumberFormat="1" applyFont="1"/>
    <xf numFmtId="49" fontId="3" fillId="4" borderId="16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4" fontId="3" fillId="4" borderId="0" xfId="0" applyNumberFormat="1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4" fontId="3" fillId="4" borderId="12" xfId="0" applyNumberFormat="1" applyFont="1" applyFill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/>
    <xf numFmtId="4" fontId="1" fillId="0" borderId="7" xfId="0" applyNumberFormat="1" applyFont="1" applyBorder="1"/>
    <xf numFmtId="4" fontId="1" fillId="0" borderId="11" xfId="0" applyNumberFormat="1" applyFont="1" applyBorder="1"/>
    <xf numFmtId="4" fontId="13" fillId="0" borderId="7" xfId="0" applyNumberFormat="1" applyFont="1" applyBorder="1"/>
    <xf numFmtId="0" fontId="1" fillId="0" borderId="0" xfId="0" applyNumberFormat="1" applyFont="1" applyAlignment="1">
      <alignment horizontal="center"/>
    </xf>
    <xf numFmtId="4" fontId="1" fillId="0" borderId="0" xfId="0" applyNumberFormat="1" applyFont="1" applyFill="1"/>
    <xf numFmtId="43" fontId="13" fillId="0" borderId="0" xfId="2" applyFont="1"/>
    <xf numFmtId="4" fontId="1" fillId="6" borderId="0" xfId="0" applyNumberFormat="1" applyFont="1" applyFill="1"/>
    <xf numFmtId="2" fontId="1" fillId="7" borderId="0" xfId="0" applyNumberFormat="1" applyFont="1" applyFill="1"/>
    <xf numFmtId="44" fontId="1" fillId="6" borderId="0" xfId="0" applyNumberFormat="1" applyFont="1" applyFill="1"/>
    <xf numFmtId="2" fontId="1" fillId="0" borderId="0" xfId="0" applyNumberFormat="1" applyFont="1"/>
    <xf numFmtId="43" fontId="31" fillId="0" borderId="0" xfId="2" applyFont="1" applyAlignment="1">
      <alignment horizontal="center"/>
    </xf>
    <xf numFmtId="4" fontId="1" fillId="7" borderId="0" xfId="0" applyNumberFormat="1" applyFont="1" applyFill="1"/>
    <xf numFmtId="0" fontId="4" fillId="0" borderId="0" xfId="0" applyFont="1" applyAlignment="1">
      <alignment horizontal="left"/>
    </xf>
    <xf numFmtId="0" fontId="2" fillId="0" borderId="0" xfId="0" applyFont="1"/>
    <xf numFmtId="44" fontId="5" fillId="5" borderId="0" xfId="1" applyFont="1" applyFill="1"/>
    <xf numFmtId="0" fontId="8" fillId="0" borderId="0" xfId="0" applyFont="1"/>
    <xf numFmtId="4" fontId="19" fillId="0" borderId="0" xfId="0" applyNumberFormat="1" applyFont="1"/>
    <xf numFmtId="0" fontId="4" fillId="0" borderId="0" xfId="0" applyFont="1"/>
    <xf numFmtId="4" fontId="1" fillId="2" borderId="0" xfId="0" applyNumberFormat="1" applyFont="1" applyFill="1"/>
    <xf numFmtId="43" fontId="13" fillId="0" borderId="0" xfId="2" applyFont="1" applyFill="1" applyAlignment="1">
      <alignment horizontal="center"/>
    </xf>
    <xf numFmtId="4" fontId="1" fillId="0" borderId="0" xfId="1" applyNumberFormat="1" applyFont="1"/>
    <xf numFmtId="43" fontId="13" fillId="0" borderId="0" xfId="2" applyFont="1" applyAlignment="1">
      <alignment horizontal="center"/>
    </xf>
    <xf numFmtId="0" fontId="9" fillId="0" borderId="0" xfId="0" applyFont="1" applyFill="1"/>
    <xf numFmtId="4" fontId="1" fillId="0" borderId="0" xfId="0" applyNumberFormat="1" applyFont="1" applyBorder="1"/>
    <xf numFmtId="43" fontId="13" fillId="0" borderId="0" xfId="2" applyFont="1" applyFill="1" applyAlignment="1">
      <alignment horizontal="left"/>
    </xf>
    <xf numFmtId="43" fontId="13" fillId="0" borderId="0" xfId="2" applyFont="1" applyFill="1"/>
    <xf numFmtId="4" fontId="31" fillId="0" borderId="0" xfId="0" applyNumberFormat="1" applyFont="1" applyFill="1" applyAlignment="1">
      <alignment horizontal="center"/>
    </xf>
    <xf numFmtId="0" fontId="1" fillId="0" borderId="0" xfId="0" applyFont="1" applyFill="1"/>
    <xf numFmtId="4" fontId="5" fillId="0" borderId="0" xfId="1" applyNumberFormat="1" applyFont="1"/>
    <xf numFmtId="0" fontId="13" fillId="0" borderId="0" xfId="0" applyFont="1"/>
    <xf numFmtId="0" fontId="19" fillId="0" borderId="0" xfId="0" applyFont="1"/>
    <xf numFmtId="4" fontId="26" fillId="8" borderId="0" xfId="0" applyNumberFormat="1" applyFont="1" applyFill="1"/>
    <xf numFmtId="4" fontId="5" fillId="0" borderId="0" xfId="0" applyNumberFormat="1" applyFont="1"/>
    <xf numFmtId="2" fontId="13" fillId="0" borderId="0" xfId="0" applyNumberFormat="1" applyFont="1"/>
    <xf numFmtId="0" fontId="0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</cellXfs>
  <cellStyles count="5">
    <cellStyle name="Millares" xfId="2" builtinId="3"/>
    <cellStyle name="Moneda" xfId="1" builtinId="4"/>
    <cellStyle name="Normal" xfId="0" builtinId="0"/>
    <cellStyle name="Porcentaje" xfId="3" builtinId="5"/>
    <cellStyle name="TableStyleLight1" xfId="4" xr:uid="{00000000-0005-0000-0000-000004000000}"/>
  </cellStyles>
  <dxfs count="1">
    <dxf>
      <font>
        <b val="0"/>
        <i val="0"/>
      </font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0"/>
    </tableStyle>
  </tableStyles>
  <colors>
    <mruColors>
      <color rgb="FFC4E01A"/>
      <color rgb="FF00FF00"/>
      <color rgb="FFFFE69F"/>
      <color rgb="FFFFFF99"/>
      <color rgb="FFFFF7E1"/>
      <color rgb="FFFFF2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200705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FDA035-FE4D-434F-9A4F-3253962D5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55" cy="7569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AB61E4-4C08-4488-9143-11C55AA26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609" y="0"/>
          <a:ext cx="1623981" cy="762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A30355-DF4F-4D26-8CBC-05FD12189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D835D1-6E15-421C-890B-AA6A45C38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8EA0A8-5BAA-49DA-A260-6ACBB7B01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F429A4-1290-4746-9E23-550DDECF0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692B62-D4A0-4A1D-9EF7-7977A452A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F6E1D5-5786-450E-A448-EF5ABF398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9F5625-C7C4-4299-A9D6-D2DF766D5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40FB69-8D1B-4466-87E2-5588EF0FE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9B9829-E4EE-42A8-8440-A323EB61D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200705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55F4E6-D060-4FF3-9342-292BD5734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55" cy="75695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3A294F-8884-43E8-B784-FEF54CFDC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1DF47B-074B-4261-9214-6BF5DAD08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9FFF71-B6AB-4519-9676-B346679AB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B99E15-BC2E-4AA8-B1F3-EEF081363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1304D6-1D0F-48D6-B913-9FB58A606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4D2673-C1B9-41F3-BF43-74EC5DF75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4</xdr:row>
      <xdr:rowOff>23532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2F6B46-D3FB-466D-9595-BF4A25D78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8236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78440</xdr:colOff>
      <xdr:row>0</xdr:row>
      <xdr:rowOff>0</xdr:rowOff>
    </xdr:from>
    <xdr:to>
      <xdr:col>2</xdr:col>
      <xdr:colOff>99851</xdr:colOff>
      <xdr:row>2</xdr:row>
      <xdr:rowOff>201706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BCC1CA-85E6-4189-916E-8626DA65F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190" y="0"/>
          <a:ext cx="1635058" cy="6017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200705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AE721A-3E72-4A4D-B8A6-234DB3220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55" cy="7569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350344</xdr:colOff>
      <xdr:row>0</xdr:row>
      <xdr:rowOff>32845</xdr:rowOff>
    </xdr:from>
    <xdr:to>
      <xdr:col>2</xdr:col>
      <xdr:colOff>1974325</xdr:colOff>
      <xdr:row>3</xdr:row>
      <xdr:rowOff>189727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EBD165-B8F9-45A4-92EC-8D4D010E9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3620" y="32845"/>
          <a:ext cx="1623981" cy="7480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350344</xdr:colOff>
      <xdr:row>0</xdr:row>
      <xdr:rowOff>32845</xdr:rowOff>
    </xdr:from>
    <xdr:to>
      <xdr:col>2</xdr:col>
      <xdr:colOff>1974325</xdr:colOff>
      <xdr:row>3</xdr:row>
      <xdr:rowOff>189727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02CD19-8D70-45A9-AAD7-DCC113C60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094" y="32845"/>
          <a:ext cx="1623981" cy="7569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350344</xdr:colOff>
      <xdr:row>0</xdr:row>
      <xdr:rowOff>32845</xdr:rowOff>
    </xdr:from>
    <xdr:to>
      <xdr:col>2</xdr:col>
      <xdr:colOff>1974325</xdr:colOff>
      <xdr:row>3</xdr:row>
      <xdr:rowOff>189727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F07CB7-35C0-4123-9CBD-1912847BF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094" y="32845"/>
          <a:ext cx="1623981" cy="7569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350344</xdr:colOff>
      <xdr:row>0</xdr:row>
      <xdr:rowOff>32845</xdr:rowOff>
    </xdr:from>
    <xdr:to>
      <xdr:col>2</xdr:col>
      <xdr:colOff>1974325</xdr:colOff>
      <xdr:row>3</xdr:row>
      <xdr:rowOff>189727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6412CD-310B-4CB5-8206-2744EDE2E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094" y="32845"/>
          <a:ext cx="1623981" cy="7569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350344</xdr:colOff>
      <xdr:row>0</xdr:row>
      <xdr:rowOff>32845</xdr:rowOff>
    </xdr:from>
    <xdr:to>
      <xdr:col>2</xdr:col>
      <xdr:colOff>1974325</xdr:colOff>
      <xdr:row>3</xdr:row>
      <xdr:rowOff>189727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C3FDFD-5475-4AC6-BF9B-74ECEDAC8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094" y="32845"/>
          <a:ext cx="1623981" cy="7569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luis\Desktop\HECTOR%202017\plantilla%20personal%20cendi%202017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luis\Desktop\HECTOR%202016\plantilla%20personal%20cen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"/>
      <sheetName val="PLANTILLA"/>
      <sheetName val="IMSS"/>
    </sheetNames>
    <sheetDataSet>
      <sheetData sheetId="0" refreshError="1"/>
      <sheetData sheetId="1" refreshError="1"/>
      <sheetData sheetId="2">
        <row r="2">
          <cell r="AR2">
            <v>1508.5339178903378</v>
          </cell>
        </row>
        <row r="3">
          <cell r="AR3">
            <v>766.77080841731515</v>
          </cell>
        </row>
        <row r="4">
          <cell r="AR4">
            <v>1145.8296332780128</v>
          </cell>
        </row>
        <row r="5">
          <cell r="AR5">
            <v>809.06703319758901</v>
          </cell>
        </row>
        <row r="6">
          <cell r="AR6">
            <v>809.06703319758901</v>
          </cell>
        </row>
        <row r="7">
          <cell r="AR7">
            <v>833.93394409497705</v>
          </cell>
        </row>
        <row r="8">
          <cell r="AR8">
            <v>692.17007572515058</v>
          </cell>
        </row>
        <row r="9">
          <cell r="AR9">
            <v>692.17007572515058</v>
          </cell>
        </row>
        <row r="10">
          <cell r="AR10">
            <v>660.7237520841644</v>
          </cell>
        </row>
        <row r="11">
          <cell r="AR11">
            <v>692.17007572515058</v>
          </cell>
        </row>
        <row r="12">
          <cell r="AR12">
            <v>809.06703319758901</v>
          </cell>
        </row>
        <row r="13">
          <cell r="AR13">
            <v>809.06703319758901</v>
          </cell>
        </row>
        <row r="14">
          <cell r="AR14">
            <v>809.06703319758901</v>
          </cell>
        </row>
        <row r="15">
          <cell r="AR15">
            <v>809.06703319758901</v>
          </cell>
        </row>
        <row r="16">
          <cell r="AR16">
            <v>809.06703319758901</v>
          </cell>
        </row>
        <row r="17">
          <cell r="AR17">
            <v>809.06703319758901</v>
          </cell>
        </row>
        <row r="18">
          <cell r="AR18">
            <v>833.93394409497705</v>
          </cell>
        </row>
        <row r="19">
          <cell r="AR19">
            <v>809.06703319758901</v>
          </cell>
        </row>
        <row r="20">
          <cell r="AR20">
            <v>809.06703319758901</v>
          </cell>
        </row>
        <row r="21">
          <cell r="AR21">
            <v>809.06703319758901</v>
          </cell>
        </row>
        <row r="22">
          <cell r="AR22">
            <v>809.06703319758901</v>
          </cell>
        </row>
        <row r="23">
          <cell r="AR23">
            <v>809.06703319758901</v>
          </cell>
        </row>
        <row r="24">
          <cell r="AR24">
            <v>809.06703319758901</v>
          </cell>
        </row>
        <row r="25">
          <cell r="AR25">
            <v>809.06703319758901</v>
          </cell>
        </row>
        <row r="26">
          <cell r="AR26">
            <v>809.06703319758901</v>
          </cell>
        </row>
        <row r="27">
          <cell r="AR27">
            <v>833.93394409497705</v>
          </cell>
        </row>
        <row r="28">
          <cell r="AR28">
            <v>809.06703319758901</v>
          </cell>
        </row>
        <row r="29">
          <cell r="AR29">
            <v>809.06703319758901</v>
          </cell>
        </row>
        <row r="30">
          <cell r="AR30">
            <v>1145.8284656803653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"/>
      <sheetName val="PLANTILLA 2016"/>
      <sheetName val="IMSS 2016"/>
      <sheetName val="PLANTILLA"/>
      <sheetName val="IMSS"/>
      <sheetName val="INCREMENTO 4%"/>
      <sheetName val="IMSS INCREMENTO 4%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R2">
            <v>1369.519122664329</v>
          </cell>
        </row>
        <row r="3">
          <cell r="AR3">
            <v>662.83356551598172</v>
          </cell>
        </row>
        <row r="4">
          <cell r="AR4">
            <v>963.48995974429226</v>
          </cell>
        </row>
        <row r="5">
          <cell r="AR5">
            <v>692.02350670319629</v>
          </cell>
        </row>
        <row r="6">
          <cell r="AR6">
            <v>692.02350670319629</v>
          </cell>
        </row>
        <row r="7">
          <cell r="AR7">
            <v>729.97043024657546</v>
          </cell>
        </row>
        <row r="8">
          <cell r="AR8">
            <v>642.40060668493152</v>
          </cell>
        </row>
        <row r="9">
          <cell r="AR9">
            <v>642.40060668493152</v>
          </cell>
        </row>
        <row r="10">
          <cell r="AR10">
            <v>537.31681841095883</v>
          </cell>
        </row>
        <row r="11">
          <cell r="AR11">
            <v>563.58776547945206</v>
          </cell>
        </row>
        <row r="14">
          <cell r="AR14">
            <v>692.02350670319629</v>
          </cell>
        </row>
        <row r="15">
          <cell r="AR15">
            <v>692.02350670319629</v>
          </cell>
        </row>
        <row r="16">
          <cell r="AR16">
            <v>692.02350670319629</v>
          </cell>
        </row>
        <row r="17">
          <cell r="AR17">
            <v>692.02350670319629</v>
          </cell>
        </row>
        <row r="18">
          <cell r="AR18">
            <v>729.97043024657546</v>
          </cell>
        </row>
        <row r="20">
          <cell r="AR20">
            <v>692.02350670319629</v>
          </cell>
        </row>
        <row r="21">
          <cell r="AR21">
            <v>692.02350670319629</v>
          </cell>
        </row>
        <row r="22">
          <cell r="AR22">
            <v>692.02350670319629</v>
          </cell>
        </row>
        <row r="23">
          <cell r="AR23">
            <v>692.02350670319629</v>
          </cell>
        </row>
        <row r="24">
          <cell r="AR24">
            <v>692.02350670319629</v>
          </cell>
        </row>
        <row r="25">
          <cell r="AR25">
            <v>692.02350670319629</v>
          </cell>
        </row>
        <row r="26">
          <cell r="AR26">
            <v>692.02350670319629</v>
          </cell>
        </row>
        <row r="28">
          <cell r="AR28">
            <v>692.02350670319629</v>
          </cell>
        </row>
        <row r="29">
          <cell r="AR29">
            <v>680.01072321461186</v>
          </cell>
        </row>
        <row r="30">
          <cell r="AR30">
            <v>963.48995974429226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3:W68"/>
  <sheetViews>
    <sheetView zoomScale="87" zoomScaleNormal="87" workbookViewId="0">
      <selection activeCell="E15" sqref="E15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2.28515625" style="102" customWidth="1"/>
    <col min="8" max="8" width="14.140625" style="102" hidden="1" customWidth="1"/>
    <col min="9" max="9" width="12.85546875" style="102" customWidth="1"/>
    <col min="10" max="10" width="11.42578125" style="102" hidden="1" customWidth="1"/>
    <col min="11" max="11" width="15.85546875" style="102" customWidth="1"/>
    <col min="12" max="12" width="9.42578125" style="102" hidden="1" customWidth="1"/>
    <col min="13" max="13" width="14.42578125" style="102" hidden="1" customWidth="1"/>
    <col min="14" max="14" width="11.85546875" style="102" customWidth="1"/>
    <col min="15" max="15" width="11.42578125" style="102" hidden="1" customWidth="1"/>
    <col min="16" max="16" width="12.85546875" style="102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3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3" ht="16.5" customHeight="1" x14ac:dyDescent="0.25">
      <c r="B4" s="291" t="s">
        <v>139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3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112" t="s">
        <v>87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114" t="s">
        <v>89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3" x14ac:dyDescent="0.25">
      <c r="B6" s="121" t="s">
        <v>13</v>
      </c>
      <c r="C6" s="122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3" ht="18.75" x14ac:dyDescent="0.3">
      <c r="B7" s="102" t="s">
        <v>15</v>
      </c>
      <c r="C7" s="179" t="s">
        <v>16</v>
      </c>
      <c r="D7" s="102" t="s">
        <v>19</v>
      </c>
      <c r="E7" s="103">
        <v>18712.849999999999</v>
      </c>
      <c r="F7" s="126">
        <v>15</v>
      </c>
      <c r="G7" s="141"/>
      <c r="H7" s="103"/>
      <c r="I7" s="103"/>
      <c r="J7" s="103"/>
      <c r="K7" s="103">
        <f>E7-I7</f>
        <v>18712.849999999999</v>
      </c>
      <c r="L7" s="103">
        <v>0</v>
      </c>
      <c r="M7" s="103">
        <v>3798.5</v>
      </c>
      <c r="N7" s="103">
        <f>M7-L7</f>
        <v>3798.5</v>
      </c>
      <c r="O7" s="103">
        <v>0</v>
      </c>
      <c r="P7" s="156">
        <f>ROUND(E7*0.115,2)</f>
        <v>2151.98</v>
      </c>
      <c r="Q7" s="103">
        <f>SUM(N7:P7)+G7</f>
        <v>5950.48</v>
      </c>
      <c r="R7" s="167">
        <f>K7-Q7</f>
        <v>12762.369999999999</v>
      </c>
      <c r="S7" s="128">
        <f>+[1]IMSS!$AR$2/2</f>
        <v>754.26695894516888</v>
      </c>
      <c r="T7" s="128">
        <f>+E7*17.5%+E7*3%</f>
        <v>3836.1342499999996</v>
      </c>
      <c r="U7" s="157">
        <f>ROUND(+E7*2%,2)</f>
        <v>374.26</v>
      </c>
      <c r="V7" s="129">
        <f>SUM(S7:U7)</f>
        <v>4964.6612089451683</v>
      </c>
    </row>
    <row r="8" spans="2:23" ht="18.75" x14ac:dyDescent="0.3">
      <c r="B8" s="102" t="s">
        <v>17</v>
      </c>
      <c r="C8" s="179" t="s">
        <v>18</v>
      </c>
      <c r="D8" s="102" t="s">
        <v>2</v>
      </c>
      <c r="E8" s="103">
        <v>6007.05</v>
      </c>
      <c r="F8" s="126">
        <v>15</v>
      </c>
      <c r="G8" s="127">
        <v>1000</v>
      </c>
      <c r="H8" s="103"/>
      <c r="I8" s="130"/>
      <c r="J8" s="103"/>
      <c r="K8" s="103">
        <f>E8-I8</f>
        <v>6007.05</v>
      </c>
      <c r="L8" s="103">
        <v>0</v>
      </c>
      <c r="M8" s="103">
        <v>735.85</v>
      </c>
      <c r="N8" s="103">
        <f>M8-L8</f>
        <v>735.85</v>
      </c>
      <c r="O8" s="103">
        <v>0</v>
      </c>
      <c r="P8" s="156">
        <f>ROUND(E8*0.115,2)</f>
        <v>690.81</v>
      </c>
      <c r="Q8" s="103">
        <f>SUM(N8:P8)+G8</f>
        <v>2426.66</v>
      </c>
      <c r="R8" s="167">
        <f>K8-Q8</f>
        <v>3580.3900000000003</v>
      </c>
      <c r="S8" s="128">
        <f>+[1]IMSS!$AR$3/2</f>
        <v>383.38540420865758</v>
      </c>
      <c r="T8" s="128">
        <f>+E8*17.5%+E8*3%</f>
        <v>1231.4452499999998</v>
      </c>
      <c r="U8" s="157">
        <f>ROUND(+E8*2%,2)</f>
        <v>120.14</v>
      </c>
      <c r="V8" s="129">
        <f>SUM(S8:U8)</f>
        <v>1734.9706542086574</v>
      </c>
    </row>
    <row r="9" spans="2:23" ht="18.75" x14ac:dyDescent="0.3">
      <c r="B9" s="131" t="s">
        <v>20</v>
      </c>
      <c r="C9" s="132"/>
      <c r="D9" s="133"/>
      <c r="E9" s="134">
        <f>SUM(E7:E8)</f>
        <v>24719.899999999998</v>
      </c>
      <c r="F9" s="134"/>
      <c r="G9" s="134">
        <f>+G8+G7</f>
        <v>1000</v>
      </c>
      <c r="H9" s="134"/>
      <c r="I9" s="134">
        <f t="shared" ref="I9:V9" si="0">SUM(I7:I8)</f>
        <v>0</v>
      </c>
      <c r="J9" s="134">
        <f t="shared" si="0"/>
        <v>0</v>
      </c>
      <c r="K9" s="134">
        <f t="shared" si="0"/>
        <v>24719.899999999998</v>
      </c>
      <c r="L9" s="134">
        <f t="shared" si="0"/>
        <v>0</v>
      </c>
      <c r="M9" s="134">
        <f>SUM(M7:M8)</f>
        <v>4534.3500000000004</v>
      </c>
      <c r="N9" s="134">
        <f t="shared" si="0"/>
        <v>4534.3500000000004</v>
      </c>
      <c r="O9" s="134">
        <f t="shared" si="0"/>
        <v>0</v>
      </c>
      <c r="P9" s="134">
        <f>SUM(P7:P8)</f>
        <v>2842.79</v>
      </c>
      <c r="Q9" s="134">
        <f t="shared" si="0"/>
        <v>8377.14</v>
      </c>
      <c r="R9" s="135">
        <f>SUM(R7:R8)</f>
        <v>16342.759999999998</v>
      </c>
      <c r="S9" s="134">
        <f t="shared" si="0"/>
        <v>1137.6523631538264</v>
      </c>
      <c r="T9" s="134">
        <f t="shared" si="0"/>
        <v>5067.5794999999998</v>
      </c>
      <c r="U9" s="134">
        <f t="shared" si="0"/>
        <v>494.4</v>
      </c>
      <c r="V9" s="134">
        <f t="shared" si="0"/>
        <v>6699.6318631538252</v>
      </c>
    </row>
    <row r="10" spans="2:23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</row>
    <row r="11" spans="2:23" ht="18.75" x14ac:dyDescent="0.3">
      <c r="B11" s="138" t="s">
        <v>21</v>
      </c>
      <c r="C11" s="132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</row>
    <row r="12" spans="2:23" ht="18.75" x14ac:dyDescent="0.3">
      <c r="B12" s="102" t="s">
        <v>23</v>
      </c>
      <c r="C12" s="179" t="s">
        <v>28</v>
      </c>
      <c r="D12" s="102" t="s">
        <v>114</v>
      </c>
      <c r="E12" s="103">
        <v>12500</v>
      </c>
      <c r="F12" s="126">
        <v>15</v>
      </c>
      <c r="G12" s="127">
        <v>3394</v>
      </c>
      <c r="H12" s="103"/>
      <c r="I12" s="103"/>
      <c r="J12" s="103"/>
      <c r="K12" s="103">
        <f t="shared" ref="K12:K18" si="1">E12-I12</f>
        <v>12500</v>
      </c>
      <c r="L12" s="103">
        <v>0</v>
      </c>
      <c r="M12" s="103">
        <v>2171.38</v>
      </c>
      <c r="N12" s="103">
        <f t="shared" ref="N12:N17" si="2">M12-L12</f>
        <v>2171.38</v>
      </c>
      <c r="O12" s="103">
        <v>0</v>
      </c>
      <c r="P12" s="156">
        <f t="shared" ref="P12:P19" si="3">ROUND(E12*0.115,2)</f>
        <v>1437.5</v>
      </c>
      <c r="Q12" s="103">
        <f t="shared" ref="Q12:Q19" si="4">SUM(N12:P12)+G12</f>
        <v>7002.88</v>
      </c>
      <c r="R12" s="167">
        <f t="shared" ref="R12:R19" si="5">K12-Q12</f>
        <v>5497.12</v>
      </c>
      <c r="S12" s="128">
        <f>+[1]IMSS!$AR$4/2</f>
        <v>572.9148166390064</v>
      </c>
      <c r="T12" s="128">
        <f t="shared" ref="T12:T17" si="6">+E12*17.5%+E12*3%</f>
        <v>2562.5</v>
      </c>
      <c r="U12" s="157">
        <f t="shared" ref="U12:U19" si="7">ROUND(+E12*2%,2)</f>
        <v>250</v>
      </c>
      <c r="V12" s="129">
        <f t="shared" ref="V12:V19" si="8">SUM(S12:U12)</f>
        <v>3385.4148166390064</v>
      </c>
    </row>
    <row r="13" spans="2:23" ht="18.75" x14ac:dyDescent="0.3">
      <c r="B13" s="102" t="s">
        <v>24</v>
      </c>
      <c r="C13" s="179" t="s">
        <v>29</v>
      </c>
      <c r="D13" s="102" t="s">
        <v>116</v>
      </c>
      <c r="E13" s="103">
        <v>6731.55</v>
      </c>
      <c r="F13" s="126">
        <v>15</v>
      </c>
      <c r="G13" s="103"/>
      <c r="H13" s="103"/>
      <c r="I13" s="139"/>
      <c r="J13" s="140"/>
      <c r="K13" s="103">
        <f>E13-I13</f>
        <v>6731.55</v>
      </c>
      <c r="L13" s="103">
        <v>0</v>
      </c>
      <c r="M13" s="103">
        <v>890.6</v>
      </c>
      <c r="N13" s="103">
        <f t="shared" si="2"/>
        <v>890.6</v>
      </c>
      <c r="O13" s="103">
        <v>0</v>
      </c>
      <c r="P13" s="156">
        <f t="shared" si="3"/>
        <v>774.13</v>
      </c>
      <c r="Q13" s="103">
        <f t="shared" si="4"/>
        <v>1664.73</v>
      </c>
      <c r="R13" s="167">
        <f t="shared" si="5"/>
        <v>5066.82</v>
      </c>
      <c r="S13" s="128">
        <f>+[1]IMSS!$AR$5/2</f>
        <v>404.53351659879451</v>
      </c>
      <c r="T13" s="128">
        <f t="shared" si="6"/>
        <v>1379.96775</v>
      </c>
      <c r="U13" s="157">
        <f t="shared" si="7"/>
        <v>134.63</v>
      </c>
      <c r="V13" s="129">
        <f t="shared" si="8"/>
        <v>1919.1312665987944</v>
      </c>
    </row>
    <row r="14" spans="2:23" ht="18.75" x14ac:dyDescent="0.3">
      <c r="B14" s="102" t="s">
        <v>25</v>
      </c>
      <c r="C14" s="179" t="s">
        <v>92</v>
      </c>
      <c r="D14" s="102" t="s">
        <v>115</v>
      </c>
      <c r="E14" s="103">
        <v>6731.55</v>
      </c>
      <c r="F14" s="126">
        <v>15</v>
      </c>
      <c r="G14" s="103"/>
      <c r="H14" s="141"/>
      <c r="I14" s="139"/>
      <c r="J14" s="140"/>
      <c r="K14" s="103">
        <f>E14-I14</f>
        <v>6731.55</v>
      </c>
      <c r="L14" s="103">
        <v>0</v>
      </c>
      <c r="M14" s="103">
        <v>890.6</v>
      </c>
      <c r="N14" s="103">
        <f t="shared" si="2"/>
        <v>890.6</v>
      </c>
      <c r="O14" s="103">
        <v>0</v>
      </c>
      <c r="P14" s="156">
        <f t="shared" si="3"/>
        <v>774.13</v>
      </c>
      <c r="Q14" s="103">
        <f>SUM(N14:P14)+G14</f>
        <v>1664.73</v>
      </c>
      <c r="R14" s="167">
        <f>K14-Q14</f>
        <v>5066.82</v>
      </c>
      <c r="S14" s="128">
        <f>+[1]IMSS!$AR$6/2</f>
        <v>404.53351659879451</v>
      </c>
      <c r="T14" s="128">
        <f t="shared" si="6"/>
        <v>1379.96775</v>
      </c>
      <c r="U14" s="157">
        <f t="shared" si="7"/>
        <v>134.63</v>
      </c>
      <c r="V14" s="129">
        <f t="shared" si="8"/>
        <v>1919.1312665987944</v>
      </c>
    </row>
    <row r="15" spans="2:23" ht="18.75" x14ac:dyDescent="0.3">
      <c r="B15" s="102" t="s">
        <v>26</v>
      </c>
      <c r="C15" s="179" t="s">
        <v>58</v>
      </c>
      <c r="D15" s="102" t="s">
        <v>37</v>
      </c>
      <c r="E15" s="103">
        <v>7157.5</v>
      </c>
      <c r="F15" s="126">
        <v>15</v>
      </c>
      <c r="G15" s="103"/>
      <c r="H15" s="103"/>
      <c r="I15" s="139"/>
      <c r="J15" s="103"/>
      <c r="K15" s="103">
        <f t="shared" si="1"/>
        <v>7157.5</v>
      </c>
      <c r="L15" s="103">
        <v>0</v>
      </c>
      <c r="M15" s="103">
        <v>981.58</v>
      </c>
      <c r="N15" s="103">
        <f t="shared" si="2"/>
        <v>981.58</v>
      </c>
      <c r="O15" s="103">
        <v>0</v>
      </c>
      <c r="P15" s="156">
        <f t="shared" si="3"/>
        <v>823.11</v>
      </c>
      <c r="Q15" s="103">
        <f t="shared" si="4"/>
        <v>1804.69</v>
      </c>
      <c r="R15" s="167">
        <f t="shared" si="5"/>
        <v>5352.8099999999995</v>
      </c>
      <c r="S15" s="128">
        <f>+[1]IMSS!$AR$7/2</f>
        <v>416.96697204748853</v>
      </c>
      <c r="T15" s="128">
        <f t="shared" si="6"/>
        <v>1467.2874999999999</v>
      </c>
      <c r="U15" s="157">
        <f t="shared" si="7"/>
        <v>143.15</v>
      </c>
      <c r="V15" s="129">
        <f t="shared" si="8"/>
        <v>2027.4044720474885</v>
      </c>
    </row>
    <row r="16" spans="2:23" ht="18.75" x14ac:dyDescent="0.3">
      <c r="B16" s="102" t="s">
        <v>27</v>
      </c>
      <c r="C16" s="179" t="s">
        <v>40</v>
      </c>
      <c r="D16" s="102" t="s">
        <v>117</v>
      </c>
      <c r="E16" s="103">
        <v>4729.2</v>
      </c>
      <c r="F16" s="126">
        <v>15</v>
      </c>
      <c r="G16" s="127">
        <v>1314</v>
      </c>
      <c r="H16" s="103"/>
      <c r="I16" s="139"/>
      <c r="J16" s="103"/>
      <c r="K16" s="103">
        <f>E16-I16</f>
        <v>4729.2</v>
      </c>
      <c r="L16" s="103">
        <v>0</v>
      </c>
      <c r="M16" s="103">
        <v>475.02</v>
      </c>
      <c r="N16" s="103">
        <f t="shared" si="2"/>
        <v>475.02</v>
      </c>
      <c r="O16" s="103">
        <v>0</v>
      </c>
      <c r="P16" s="156">
        <f t="shared" si="3"/>
        <v>543.86</v>
      </c>
      <c r="Q16" s="103">
        <f>SUM(N16:P16)+G16</f>
        <v>2332.88</v>
      </c>
      <c r="R16" s="167">
        <f t="shared" si="5"/>
        <v>2396.3199999999997</v>
      </c>
      <c r="S16" s="128">
        <f>+[1]IMSS!$AR$8/2</f>
        <v>346.08503786257529</v>
      </c>
      <c r="T16" s="128">
        <f t="shared" si="6"/>
        <v>969.48599999999988</v>
      </c>
      <c r="U16" s="157">
        <f t="shared" si="7"/>
        <v>94.58</v>
      </c>
      <c r="V16" s="129">
        <f t="shared" si="8"/>
        <v>1410.1510378625751</v>
      </c>
    </row>
    <row r="17" spans="2:22" ht="18.75" x14ac:dyDescent="0.3">
      <c r="B17" s="102" t="s">
        <v>60</v>
      </c>
      <c r="C17" s="179" t="s">
        <v>41</v>
      </c>
      <c r="D17" s="102" t="s">
        <v>118</v>
      </c>
      <c r="E17" s="103">
        <v>4729.2</v>
      </c>
      <c r="F17" s="126">
        <v>15</v>
      </c>
      <c r="G17" s="127">
        <v>1106.6199999999999</v>
      </c>
      <c r="H17" s="103"/>
      <c r="I17" s="139"/>
      <c r="J17" s="103"/>
      <c r="K17" s="103">
        <f>E17-I17</f>
        <v>4729.2</v>
      </c>
      <c r="L17" s="103">
        <v>0</v>
      </c>
      <c r="M17" s="103">
        <v>475.02</v>
      </c>
      <c r="N17" s="103">
        <f t="shared" si="2"/>
        <v>475.02</v>
      </c>
      <c r="O17" s="103">
        <v>0</v>
      </c>
      <c r="P17" s="156">
        <f t="shared" si="3"/>
        <v>543.86</v>
      </c>
      <c r="Q17" s="103">
        <f>SUM(N17:P17)+G17</f>
        <v>2125.5</v>
      </c>
      <c r="R17" s="167">
        <f>K17-Q17</f>
        <v>2603.6999999999998</v>
      </c>
      <c r="S17" s="128">
        <f>+[1]IMSS!$AR$9/2</f>
        <v>346.08503786257529</v>
      </c>
      <c r="T17" s="128">
        <f t="shared" si="6"/>
        <v>969.48599999999988</v>
      </c>
      <c r="U17" s="157">
        <f t="shared" si="7"/>
        <v>94.58</v>
      </c>
      <c r="V17" s="129">
        <f t="shared" si="8"/>
        <v>1410.1510378625751</v>
      </c>
    </row>
    <row r="18" spans="2:22" ht="18.75" x14ac:dyDescent="0.3">
      <c r="B18" s="102" t="s">
        <v>61</v>
      </c>
      <c r="C18" s="179" t="s">
        <v>43</v>
      </c>
      <c r="D18" s="102" t="s">
        <v>3</v>
      </c>
      <c r="E18" s="103">
        <v>4190.55</v>
      </c>
      <c r="F18" s="126">
        <v>15</v>
      </c>
      <c r="G18" s="127">
        <v>624</v>
      </c>
      <c r="H18" s="103"/>
      <c r="I18" s="103"/>
      <c r="J18" s="103"/>
      <c r="K18" s="103">
        <f t="shared" si="1"/>
        <v>4190.55</v>
      </c>
      <c r="L18" s="103"/>
      <c r="M18" s="103">
        <v>379.52</v>
      </c>
      <c r="N18" s="103">
        <f>+M18-L18</f>
        <v>379.52</v>
      </c>
      <c r="O18" s="103">
        <v>0</v>
      </c>
      <c r="P18" s="156">
        <f t="shared" si="3"/>
        <v>481.91</v>
      </c>
      <c r="Q18" s="103">
        <f t="shared" si="4"/>
        <v>1485.43</v>
      </c>
      <c r="R18" s="167">
        <f t="shared" si="5"/>
        <v>2705.12</v>
      </c>
      <c r="S18" s="128">
        <f>+[1]IMSS!$AR$10/2</f>
        <v>330.3618760420822</v>
      </c>
      <c r="T18" s="128">
        <f>+E18*17.5%+E18*3%+0.07</f>
        <v>859.13274999999999</v>
      </c>
      <c r="U18" s="157">
        <f t="shared" si="7"/>
        <v>83.81</v>
      </c>
      <c r="V18" s="129">
        <f t="shared" si="8"/>
        <v>1273.3046260420822</v>
      </c>
    </row>
    <row r="19" spans="2:22" ht="18.75" x14ac:dyDescent="0.3">
      <c r="B19" s="102" t="s">
        <v>62</v>
      </c>
      <c r="C19" s="179" t="s">
        <v>42</v>
      </c>
      <c r="D19" s="102" t="s">
        <v>119</v>
      </c>
      <c r="E19" s="103">
        <v>4729.2</v>
      </c>
      <c r="F19" s="126">
        <v>15</v>
      </c>
      <c r="G19" s="127">
        <v>525</v>
      </c>
      <c r="H19" s="130"/>
      <c r="I19" s="139"/>
      <c r="J19" s="103"/>
      <c r="K19" s="103">
        <f>E19-I19+H19</f>
        <v>4729.2</v>
      </c>
      <c r="L19" s="103"/>
      <c r="M19" s="103">
        <v>475.02</v>
      </c>
      <c r="N19" s="103">
        <f>+M19-L19</f>
        <v>475.02</v>
      </c>
      <c r="O19" s="103">
        <v>0</v>
      </c>
      <c r="P19" s="156">
        <f t="shared" si="3"/>
        <v>543.86</v>
      </c>
      <c r="Q19" s="103">
        <f t="shared" si="4"/>
        <v>1543.88</v>
      </c>
      <c r="R19" s="167">
        <f t="shared" si="5"/>
        <v>3185.3199999999997</v>
      </c>
      <c r="S19" s="128">
        <f>+[1]IMSS!$AR$11/2</f>
        <v>346.08503786257529</v>
      </c>
      <c r="T19" s="128">
        <f>+E19*17.5%+E19*3%</f>
        <v>969.48599999999988</v>
      </c>
      <c r="U19" s="157">
        <f t="shared" si="7"/>
        <v>94.58</v>
      </c>
      <c r="V19" s="129">
        <f t="shared" si="8"/>
        <v>1410.1510378625751</v>
      </c>
    </row>
    <row r="20" spans="2:22" ht="18.75" x14ac:dyDescent="0.3">
      <c r="B20" s="138" t="s">
        <v>20</v>
      </c>
      <c r="C20" s="132"/>
      <c r="D20" s="133"/>
      <c r="E20" s="134">
        <f>SUM(E12:E19)</f>
        <v>51498.749999999993</v>
      </c>
      <c r="F20" s="134"/>
      <c r="G20" s="134">
        <f>+G19+G18+G17+G16+G12</f>
        <v>6963.62</v>
      </c>
      <c r="H20" s="134"/>
      <c r="I20" s="134">
        <f t="shared" ref="I20:V20" si="9">SUM(I12:I19)</f>
        <v>0</v>
      </c>
      <c r="J20" s="134">
        <f t="shared" si="9"/>
        <v>0</v>
      </c>
      <c r="K20" s="134">
        <f t="shared" si="9"/>
        <v>51498.749999999993</v>
      </c>
      <c r="L20" s="134">
        <f t="shared" ref="L20" si="10">SUM(L12:L19)</f>
        <v>0</v>
      </c>
      <c r="M20" s="134">
        <f>SUM(M12:M19)</f>
        <v>6738.7400000000016</v>
      </c>
      <c r="N20" s="134">
        <f t="shared" si="9"/>
        <v>6738.7400000000016</v>
      </c>
      <c r="O20" s="134">
        <f t="shared" si="9"/>
        <v>0</v>
      </c>
      <c r="P20" s="134">
        <f>SUM(P12:P19)</f>
        <v>5922.36</v>
      </c>
      <c r="Q20" s="134">
        <f t="shared" si="9"/>
        <v>19624.72</v>
      </c>
      <c r="R20" s="135">
        <f>SUM(R12:R19)</f>
        <v>31874.03</v>
      </c>
      <c r="S20" s="134">
        <f t="shared" si="9"/>
        <v>3167.5658115138922</v>
      </c>
      <c r="T20" s="134">
        <f t="shared" si="9"/>
        <v>10557.313750000001</v>
      </c>
      <c r="U20" s="134">
        <f t="shared" si="9"/>
        <v>1029.96</v>
      </c>
      <c r="V20" s="134">
        <f t="shared" si="9"/>
        <v>14754.839561513891</v>
      </c>
    </row>
    <row r="21" spans="2:22" ht="18.75" hidden="1" x14ac:dyDescent="0.3">
      <c r="B21" s="138"/>
      <c r="C21" s="136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37"/>
    </row>
    <row r="22" spans="2:22" ht="18.75" x14ac:dyDescent="0.3">
      <c r="B22" s="138" t="s">
        <v>31</v>
      </c>
      <c r="C22" s="132" t="s">
        <v>83</v>
      </c>
      <c r="E22" s="103"/>
      <c r="F22" s="103"/>
      <c r="G22" s="103"/>
      <c r="H22" s="103"/>
      <c r="I22" s="103"/>
      <c r="J22" s="103"/>
      <c r="K22" s="142"/>
      <c r="L22" s="142"/>
      <c r="M22" s="103"/>
      <c r="N22" s="103"/>
      <c r="O22" s="103"/>
      <c r="P22" s="103"/>
      <c r="Q22" s="103"/>
      <c r="R22" s="137"/>
    </row>
    <row r="23" spans="2:22" ht="18.75" x14ac:dyDescent="0.3">
      <c r="B23" s="102" t="s">
        <v>63</v>
      </c>
      <c r="C23" s="179" t="s">
        <v>110</v>
      </c>
      <c r="D23" s="158" t="s">
        <v>132</v>
      </c>
      <c r="E23" s="103">
        <v>6731.55</v>
      </c>
      <c r="F23" s="126">
        <v>15</v>
      </c>
      <c r="G23" s="103"/>
      <c r="H23" s="103"/>
      <c r="I23" s="103"/>
      <c r="J23" s="103"/>
      <c r="K23" s="103">
        <f>E23-I23</f>
        <v>6731.55</v>
      </c>
      <c r="L23" s="103">
        <v>0</v>
      </c>
      <c r="M23" s="103">
        <v>890.6</v>
      </c>
      <c r="N23" s="103">
        <f t="shared" ref="N23:N24" si="11">M23-L23</f>
        <v>890.6</v>
      </c>
      <c r="O23" s="103">
        <v>0</v>
      </c>
      <c r="P23" s="156">
        <f>ROUND(E23*0.115,2)</f>
        <v>774.13</v>
      </c>
      <c r="Q23" s="103">
        <f t="shared" ref="Q23:Q24" si="12">SUM(N23:P23)+G23</f>
        <v>1664.73</v>
      </c>
      <c r="R23" s="167">
        <f>K23-Q23</f>
        <v>5066.82</v>
      </c>
      <c r="S23" s="128">
        <f>+[1]IMSS!$AR$12/2</f>
        <v>404.53351659879451</v>
      </c>
      <c r="T23" s="128">
        <f>+E23*17.5%+E23*3%</f>
        <v>1379.96775</v>
      </c>
      <c r="U23" s="157">
        <f t="shared" ref="U23:U26" si="13">ROUND(+E23*2%,2)</f>
        <v>134.63</v>
      </c>
      <c r="V23" s="129">
        <f t="shared" ref="V23:V24" si="14">SUM(S23:U23)</f>
        <v>1919.1312665987944</v>
      </c>
    </row>
    <row r="24" spans="2:22" ht="18.75" x14ac:dyDescent="0.3">
      <c r="B24" s="102" t="s">
        <v>112</v>
      </c>
      <c r="C24" s="179" t="s">
        <v>113</v>
      </c>
      <c r="D24" s="158" t="s">
        <v>133</v>
      </c>
      <c r="E24" s="103">
        <v>6731.55</v>
      </c>
      <c r="F24" s="126">
        <v>15</v>
      </c>
      <c r="G24" s="103"/>
      <c r="H24" s="103"/>
      <c r="I24" s="103"/>
      <c r="J24" s="103"/>
      <c r="K24" s="103">
        <f>E24-I24</f>
        <v>6731.55</v>
      </c>
      <c r="L24" s="103">
        <v>0</v>
      </c>
      <c r="M24" s="103">
        <v>890.6</v>
      </c>
      <c r="N24" s="103">
        <f t="shared" si="11"/>
        <v>890.6</v>
      </c>
      <c r="O24" s="103">
        <v>0</v>
      </c>
      <c r="P24" s="156">
        <f>ROUND(E24*0.115,2)</f>
        <v>774.13</v>
      </c>
      <c r="Q24" s="103">
        <f t="shared" si="12"/>
        <v>1664.73</v>
      </c>
      <c r="R24" s="167">
        <f>K24-Q24</f>
        <v>5066.82</v>
      </c>
      <c r="S24" s="128">
        <f>+[1]IMSS!$AR$13/2</f>
        <v>404.53351659879451</v>
      </c>
      <c r="T24" s="128">
        <f>+E24*17.5%+E24*3%</f>
        <v>1379.96775</v>
      </c>
      <c r="U24" s="157">
        <f t="shared" si="13"/>
        <v>134.63</v>
      </c>
      <c r="V24" s="129">
        <f t="shared" si="14"/>
        <v>1919.1312665987944</v>
      </c>
    </row>
    <row r="25" spans="2:22" ht="18.75" x14ac:dyDescent="0.3">
      <c r="B25" s="102" t="s">
        <v>64</v>
      </c>
      <c r="C25" s="179" t="s">
        <v>45</v>
      </c>
      <c r="D25" s="102" t="s">
        <v>122</v>
      </c>
      <c r="E25" s="103">
        <v>6731.55</v>
      </c>
      <c r="F25" s="126">
        <v>15</v>
      </c>
      <c r="G25" s="141"/>
      <c r="H25" s="103"/>
      <c r="I25" s="143"/>
      <c r="J25" s="103"/>
      <c r="K25" s="103">
        <f>E25-I25</f>
        <v>6731.55</v>
      </c>
      <c r="L25" s="103">
        <v>0</v>
      </c>
      <c r="M25" s="103">
        <v>890.6</v>
      </c>
      <c r="N25" s="103">
        <f>M25-L25</f>
        <v>890.6</v>
      </c>
      <c r="O25" s="103">
        <v>0</v>
      </c>
      <c r="P25" s="156">
        <f>ROUND(E25*0.115,2)</f>
        <v>774.13</v>
      </c>
      <c r="Q25" s="103">
        <f>SUM(N25:P25)+G25</f>
        <v>1664.73</v>
      </c>
      <c r="R25" s="167">
        <f>K25-Q25</f>
        <v>5066.82</v>
      </c>
      <c r="S25" s="128">
        <f>+[1]IMSS!$AR$14/2</f>
        <v>404.53351659879451</v>
      </c>
      <c r="T25" s="128">
        <f>+E25*17.5%+E25*3%</f>
        <v>1379.96775</v>
      </c>
      <c r="U25" s="157">
        <f t="shared" si="13"/>
        <v>134.63</v>
      </c>
      <c r="V25" s="129">
        <f>SUM(S25:U25)</f>
        <v>1919.1312665987944</v>
      </c>
    </row>
    <row r="26" spans="2:22" ht="18.75" x14ac:dyDescent="0.3">
      <c r="B26" s="102" t="s">
        <v>65</v>
      </c>
      <c r="C26" s="179" t="s">
        <v>59</v>
      </c>
      <c r="D26" s="158" t="s">
        <v>134</v>
      </c>
      <c r="E26" s="103">
        <v>6731.55</v>
      </c>
      <c r="F26" s="126">
        <v>15</v>
      </c>
      <c r="G26" s="127">
        <v>1189</v>
      </c>
      <c r="H26" s="130"/>
      <c r="I26" s="130"/>
      <c r="J26" s="103"/>
      <c r="K26" s="103">
        <f>E26-I26+H26</f>
        <v>6731.55</v>
      </c>
      <c r="L26" s="103">
        <v>0</v>
      </c>
      <c r="M26" s="103">
        <v>890.6</v>
      </c>
      <c r="N26" s="103">
        <f>M26-L26</f>
        <v>890.6</v>
      </c>
      <c r="O26" s="103">
        <v>0</v>
      </c>
      <c r="P26" s="156">
        <f>ROUND(E26*0.115,2)</f>
        <v>774.13</v>
      </c>
      <c r="Q26" s="103">
        <f>SUM(N26:P26)+G26</f>
        <v>2853.73</v>
      </c>
      <c r="R26" s="167">
        <f>K26-Q26</f>
        <v>3877.82</v>
      </c>
      <c r="S26" s="128">
        <f>+[1]IMSS!$AR$15/2</f>
        <v>404.53351659879451</v>
      </c>
      <c r="T26" s="128">
        <f>+E26*17.5%+E26*3%</f>
        <v>1379.96775</v>
      </c>
      <c r="U26" s="157">
        <f t="shared" si="13"/>
        <v>134.63</v>
      </c>
      <c r="V26" s="129">
        <f>SUM(S26:U26)</f>
        <v>1919.1312665987944</v>
      </c>
    </row>
    <row r="27" spans="2:22" ht="18.75" x14ac:dyDescent="0.3">
      <c r="B27" s="138" t="s">
        <v>20</v>
      </c>
      <c r="C27" s="132"/>
      <c r="D27" s="133"/>
      <c r="E27" s="134">
        <f>SUM(E23:E26)</f>
        <v>26926.2</v>
      </c>
      <c r="F27" s="134"/>
      <c r="G27" s="134">
        <f>+G26+G25+G23+G24</f>
        <v>1189</v>
      </c>
      <c r="H27" s="134"/>
      <c r="I27" s="134">
        <f t="shared" ref="I27:N27" si="15">SUM(I23:I26)</f>
        <v>0</v>
      </c>
      <c r="J27" s="134">
        <f t="shared" si="15"/>
        <v>0</v>
      </c>
      <c r="K27" s="134">
        <f t="shared" si="15"/>
        <v>26926.2</v>
      </c>
      <c r="L27" s="134">
        <f t="shared" ref="L27" si="16">SUM(L23:L26)</f>
        <v>0</v>
      </c>
      <c r="M27" s="134">
        <f>SUM(M23:M26)</f>
        <v>3562.4</v>
      </c>
      <c r="N27" s="134">
        <f t="shared" si="15"/>
        <v>3562.4</v>
      </c>
      <c r="O27" s="134">
        <f t="shared" ref="O27:Q27" si="17">SUM(O23:O26)</f>
        <v>0</v>
      </c>
      <c r="P27" s="134">
        <f>SUM(P23:P26)</f>
        <v>3096.52</v>
      </c>
      <c r="Q27" s="134">
        <f t="shared" si="17"/>
        <v>7847.92</v>
      </c>
      <c r="R27" s="135">
        <f>SUM(R23:R26)</f>
        <v>19078.28</v>
      </c>
      <c r="S27" s="134">
        <f>SUM(S23:S26)</f>
        <v>1618.134066395178</v>
      </c>
      <c r="T27" s="134">
        <f>SUM(T23:T26)</f>
        <v>5519.8710000000001</v>
      </c>
      <c r="U27" s="134">
        <f>SUM(U23:U26)</f>
        <v>538.52</v>
      </c>
      <c r="V27" s="134">
        <f>SUM(V23:V26)</f>
        <v>7676.5250663951774</v>
      </c>
    </row>
    <row r="28" spans="2:22" ht="18.75" hidden="1" x14ac:dyDescent="0.3">
      <c r="C28" s="136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37"/>
    </row>
    <row r="29" spans="2:22" ht="18.75" x14ac:dyDescent="0.3">
      <c r="B29" s="138" t="s">
        <v>33</v>
      </c>
      <c r="C29" s="132" t="s">
        <v>32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37"/>
    </row>
    <row r="30" spans="2:22" ht="18.75" x14ac:dyDescent="0.3">
      <c r="B30" s="102" t="s">
        <v>66</v>
      </c>
      <c r="C30" s="179" t="s">
        <v>49</v>
      </c>
      <c r="D30" s="158" t="s">
        <v>128</v>
      </c>
      <c r="E30" s="103">
        <v>6731.55</v>
      </c>
      <c r="F30" s="126">
        <v>15</v>
      </c>
      <c r="G30" s="103"/>
      <c r="H30" s="103"/>
      <c r="I30" s="144"/>
      <c r="J30" s="103"/>
      <c r="K30" s="103">
        <f t="shared" ref="K30:K37" si="18">E30-I30</f>
        <v>6731.55</v>
      </c>
      <c r="L30" s="103">
        <v>0</v>
      </c>
      <c r="M30" s="103">
        <v>890.6</v>
      </c>
      <c r="N30" s="103">
        <f>M30-L30</f>
        <v>890.6</v>
      </c>
      <c r="O30" s="103">
        <v>0</v>
      </c>
      <c r="P30" s="156">
        <f>ROUND(E30*0.115,2)</f>
        <v>774.13</v>
      </c>
      <c r="Q30" s="103">
        <f t="shared" ref="Q30:Q40" si="19">SUM(N30:P30)+G30</f>
        <v>1664.73</v>
      </c>
      <c r="R30" s="167">
        <f t="shared" ref="R30:R38" si="20">K30-Q30</f>
        <v>5066.82</v>
      </c>
      <c r="S30" s="128">
        <f>+[1]IMSS!$AR$16/2</f>
        <v>404.53351659879451</v>
      </c>
      <c r="T30" s="128">
        <f t="shared" ref="T30:T40" si="21">+E30*17.5%+E30*3%</f>
        <v>1379.96775</v>
      </c>
      <c r="U30" s="157">
        <f t="shared" ref="U30:U40" si="22">ROUND(+E30*2%,2)</f>
        <v>134.63</v>
      </c>
      <c r="V30" s="129">
        <f>SUM(S30:U30)</f>
        <v>1919.1312665987944</v>
      </c>
    </row>
    <row r="31" spans="2:22" ht="18.75" x14ac:dyDescent="0.3">
      <c r="B31" s="102" t="s">
        <v>67</v>
      </c>
      <c r="C31" s="179" t="s">
        <v>51</v>
      </c>
      <c r="D31" s="158" t="s">
        <v>135</v>
      </c>
      <c r="E31" s="103">
        <v>6731.55</v>
      </c>
      <c r="F31" s="126">
        <v>15</v>
      </c>
      <c r="G31" s="141"/>
      <c r="H31" s="103"/>
      <c r="I31" s="130"/>
      <c r="J31" s="141"/>
      <c r="K31" s="141">
        <f t="shared" si="18"/>
        <v>6731.55</v>
      </c>
      <c r="L31" s="141">
        <v>0</v>
      </c>
      <c r="M31" s="103">
        <v>890.6</v>
      </c>
      <c r="N31" s="103">
        <f t="shared" ref="N31:N40" si="23">M31-L31</f>
        <v>890.6</v>
      </c>
      <c r="O31" s="103">
        <v>0</v>
      </c>
      <c r="P31" s="156">
        <f t="shared" ref="P31:P40" si="24">ROUND(E31*0.115,2)</f>
        <v>774.13</v>
      </c>
      <c r="Q31" s="103">
        <f>SUM(N31:P31)+G31</f>
        <v>1664.73</v>
      </c>
      <c r="R31" s="167">
        <f t="shared" si="20"/>
        <v>5066.82</v>
      </c>
      <c r="S31" s="128">
        <f>+[1]IMSS!$AR$17/2</f>
        <v>404.53351659879451</v>
      </c>
      <c r="T31" s="128">
        <f t="shared" si="21"/>
        <v>1379.96775</v>
      </c>
      <c r="U31" s="157">
        <f t="shared" si="22"/>
        <v>134.63</v>
      </c>
      <c r="V31" s="129">
        <f>SUM(S31:U31)</f>
        <v>1919.1312665987944</v>
      </c>
    </row>
    <row r="32" spans="2:22" ht="18.75" x14ac:dyDescent="0.3">
      <c r="B32" s="102" t="s">
        <v>68</v>
      </c>
      <c r="C32" s="179" t="s">
        <v>48</v>
      </c>
      <c r="D32" s="102" t="s">
        <v>123</v>
      </c>
      <c r="E32" s="103">
        <v>7157.5</v>
      </c>
      <c r="F32" s="126">
        <v>15</v>
      </c>
      <c r="G32" s="103"/>
      <c r="H32" s="103"/>
      <c r="I32" s="130"/>
      <c r="J32" s="103"/>
      <c r="K32" s="103">
        <f t="shared" si="18"/>
        <v>7157.5</v>
      </c>
      <c r="L32" s="103">
        <v>0</v>
      </c>
      <c r="M32" s="103">
        <v>981.58</v>
      </c>
      <c r="N32" s="103">
        <f>M32-L32</f>
        <v>981.58</v>
      </c>
      <c r="O32" s="103">
        <v>0</v>
      </c>
      <c r="P32" s="156">
        <f t="shared" si="24"/>
        <v>823.11</v>
      </c>
      <c r="Q32" s="103">
        <f t="shared" si="19"/>
        <v>1804.69</v>
      </c>
      <c r="R32" s="167">
        <f t="shared" si="20"/>
        <v>5352.8099999999995</v>
      </c>
      <c r="S32" s="128">
        <f>+[1]IMSS!$AR$18/2</f>
        <v>416.96697204748853</v>
      </c>
      <c r="T32" s="128">
        <f t="shared" si="21"/>
        <v>1467.2874999999999</v>
      </c>
      <c r="U32" s="157">
        <f t="shared" si="22"/>
        <v>143.15</v>
      </c>
      <c r="V32" s="129">
        <f t="shared" ref="V32:V40" si="25">SUM(S32:U32)</f>
        <v>2027.4044720474885</v>
      </c>
    </row>
    <row r="33" spans="2:22" ht="18.75" x14ac:dyDescent="0.3">
      <c r="B33" s="102" t="s">
        <v>77</v>
      </c>
      <c r="C33" s="179" t="s">
        <v>111</v>
      </c>
      <c r="D33" s="102" t="s">
        <v>127</v>
      </c>
      <c r="E33" s="103">
        <v>6731.55</v>
      </c>
      <c r="F33" s="126">
        <v>15</v>
      </c>
      <c r="G33" s="103"/>
      <c r="H33" s="103"/>
      <c r="I33" s="144"/>
      <c r="J33" s="103"/>
      <c r="K33" s="103">
        <f>E33-I33</f>
        <v>6731.55</v>
      </c>
      <c r="L33" s="103">
        <v>0</v>
      </c>
      <c r="M33" s="103">
        <v>890.6</v>
      </c>
      <c r="N33" s="103">
        <f t="shared" si="23"/>
        <v>890.6</v>
      </c>
      <c r="O33" s="103">
        <v>0</v>
      </c>
      <c r="P33" s="156">
        <f t="shared" si="24"/>
        <v>774.13</v>
      </c>
      <c r="Q33" s="103">
        <f>SUM(N33:P33)+G33</f>
        <v>1664.73</v>
      </c>
      <c r="R33" s="167">
        <f>K33-Q33</f>
        <v>5066.82</v>
      </c>
      <c r="S33" s="128">
        <f>+[1]IMSS!$AR$19/2</f>
        <v>404.53351659879451</v>
      </c>
      <c r="T33" s="128">
        <f t="shared" si="21"/>
        <v>1379.96775</v>
      </c>
      <c r="U33" s="157">
        <f t="shared" si="22"/>
        <v>134.63</v>
      </c>
      <c r="V33" s="129">
        <f t="shared" si="25"/>
        <v>1919.1312665987944</v>
      </c>
    </row>
    <row r="34" spans="2:22" ht="18.75" x14ac:dyDescent="0.3">
      <c r="B34" s="102" t="s">
        <v>70</v>
      </c>
      <c r="C34" s="179" t="s">
        <v>46</v>
      </c>
      <c r="D34" s="102" t="s">
        <v>124</v>
      </c>
      <c r="E34" s="103">
        <v>6731.55</v>
      </c>
      <c r="F34" s="126">
        <v>15</v>
      </c>
      <c r="G34" s="127">
        <v>572.98</v>
      </c>
      <c r="H34" s="103"/>
      <c r="I34" s="139"/>
      <c r="J34" s="141"/>
      <c r="K34" s="141">
        <f t="shared" si="18"/>
        <v>6731.55</v>
      </c>
      <c r="L34" s="141">
        <v>0</v>
      </c>
      <c r="M34" s="103">
        <v>890.6</v>
      </c>
      <c r="N34" s="103">
        <f t="shared" si="23"/>
        <v>890.6</v>
      </c>
      <c r="O34" s="103">
        <v>0</v>
      </c>
      <c r="P34" s="156">
        <f t="shared" si="24"/>
        <v>774.13</v>
      </c>
      <c r="Q34" s="103">
        <f t="shared" si="19"/>
        <v>2237.71</v>
      </c>
      <c r="R34" s="167">
        <f t="shared" si="20"/>
        <v>4493.84</v>
      </c>
      <c r="S34" s="128">
        <f>+[1]IMSS!$AR$20/2</f>
        <v>404.53351659879451</v>
      </c>
      <c r="T34" s="128">
        <f t="shared" si="21"/>
        <v>1379.96775</v>
      </c>
      <c r="U34" s="157">
        <f t="shared" si="22"/>
        <v>134.63</v>
      </c>
      <c r="V34" s="129">
        <f t="shared" si="25"/>
        <v>1919.1312665987944</v>
      </c>
    </row>
    <row r="35" spans="2:22" ht="18.75" x14ac:dyDescent="0.3">
      <c r="B35" s="102" t="s">
        <v>71</v>
      </c>
      <c r="C35" s="179" t="s">
        <v>50</v>
      </c>
      <c r="D35" s="102" t="s">
        <v>124</v>
      </c>
      <c r="E35" s="103">
        <v>6731.55</v>
      </c>
      <c r="F35" s="126">
        <v>15</v>
      </c>
      <c r="G35" s="103"/>
      <c r="H35" s="141"/>
      <c r="I35" s="130"/>
      <c r="J35" s="141"/>
      <c r="K35" s="141">
        <f t="shared" si="18"/>
        <v>6731.55</v>
      </c>
      <c r="L35" s="141">
        <v>0</v>
      </c>
      <c r="M35" s="103">
        <v>890.6</v>
      </c>
      <c r="N35" s="141">
        <f t="shared" si="23"/>
        <v>890.6</v>
      </c>
      <c r="O35" s="103">
        <v>0</v>
      </c>
      <c r="P35" s="156">
        <f t="shared" si="24"/>
        <v>774.13</v>
      </c>
      <c r="Q35" s="103">
        <f t="shared" si="19"/>
        <v>1664.73</v>
      </c>
      <c r="R35" s="167">
        <f t="shared" si="20"/>
        <v>5066.82</v>
      </c>
      <c r="S35" s="128">
        <f>+[1]IMSS!$AR$21/2</f>
        <v>404.53351659879451</v>
      </c>
      <c r="T35" s="128">
        <f t="shared" si="21"/>
        <v>1379.96775</v>
      </c>
      <c r="U35" s="157">
        <f t="shared" si="22"/>
        <v>134.63</v>
      </c>
      <c r="V35" s="129">
        <f t="shared" si="25"/>
        <v>1919.1312665987944</v>
      </c>
    </row>
    <row r="36" spans="2:22" ht="18.75" x14ac:dyDescent="0.3">
      <c r="B36" s="102" t="s">
        <v>72</v>
      </c>
      <c r="C36" s="179" t="s">
        <v>52</v>
      </c>
      <c r="D36" s="102" t="s">
        <v>124</v>
      </c>
      <c r="E36" s="103">
        <v>6731.55</v>
      </c>
      <c r="F36" s="126">
        <v>15</v>
      </c>
      <c r="G36" s="103"/>
      <c r="H36" s="103"/>
      <c r="I36" s="139"/>
      <c r="J36" s="141"/>
      <c r="K36" s="141">
        <f t="shared" si="18"/>
        <v>6731.55</v>
      </c>
      <c r="L36" s="141">
        <v>0</v>
      </c>
      <c r="M36" s="103">
        <v>890.6</v>
      </c>
      <c r="N36" s="103">
        <f>M36-L36</f>
        <v>890.6</v>
      </c>
      <c r="O36" s="103">
        <v>0</v>
      </c>
      <c r="P36" s="156">
        <f t="shared" si="24"/>
        <v>774.13</v>
      </c>
      <c r="Q36" s="103">
        <f t="shared" si="19"/>
        <v>1664.73</v>
      </c>
      <c r="R36" s="167">
        <f t="shared" si="20"/>
        <v>5066.82</v>
      </c>
      <c r="S36" s="128">
        <f>+[1]IMSS!$AR$22/2</f>
        <v>404.53351659879451</v>
      </c>
      <c r="T36" s="128">
        <f t="shared" si="21"/>
        <v>1379.96775</v>
      </c>
      <c r="U36" s="157">
        <f t="shared" si="22"/>
        <v>134.63</v>
      </c>
      <c r="V36" s="129">
        <f t="shared" si="25"/>
        <v>1919.1312665987944</v>
      </c>
    </row>
    <row r="37" spans="2:22" ht="18.75" x14ac:dyDescent="0.3">
      <c r="B37" s="102" t="s">
        <v>73</v>
      </c>
      <c r="C37" s="179" t="s">
        <v>47</v>
      </c>
      <c r="D37" s="102" t="s">
        <v>125</v>
      </c>
      <c r="E37" s="103">
        <v>6731.55</v>
      </c>
      <c r="F37" s="126">
        <v>15</v>
      </c>
      <c r="G37" s="141"/>
      <c r="H37" s="103"/>
      <c r="I37" s="145"/>
      <c r="J37" s="103"/>
      <c r="K37" s="103">
        <f t="shared" si="18"/>
        <v>6731.55</v>
      </c>
      <c r="L37" s="103">
        <v>0</v>
      </c>
      <c r="M37" s="103">
        <v>890.6</v>
      </c>
      <c r="N37" s="103">
        <f t="shared" si="23"/>
        <v>890.6</v>
      </c>
      <c r="O37" s="103">
        <v>0</v>
      </c>
      <c r="P37" s="156">
        <f t="shared" si="24"/>
        <v>774.13</v>
      </c>
      <c r="Q37" s="103">
        <f>SUM(N37:P37)+G37</f>
        <v>1664.73</v>
      </c>
      <c r="R37" s="167">
        <f>K37-Q37</f>
        <v>5066.82</v>
      </c>
      <c r="S37" s="128">
        <f>+[1]IMSS!$AR$23/2</f>
        <v>404.53351659879451</v>
      </c>
      <c r="T37" s="128">
        <f t="shared" si="21"/>
        <v>1379.96775</v>
      </c>
      <c r="U37" s="157">
        <f t="shared" si="22"/>
        <v>134.63</v>
      </c>
      <c r="V37" s="129">
        <f t="shared" si="25"/>
        <v>1919.1312665987944</v>
      </c>
    </row>
    <row r="38" spans="2:22" ht="18.75" x14ac:dyDescent="0.3">
      <c r="B38" s="102" t="s">
        <v>74</v>
      </c>
      <c r="C38" s="179" t="s">
        <v>53</v>
      </c>
      <c r="D38" s="102" t="s">
        <v>125</v>
      </c>
      <c r="E38" s="103">
        <v>6731.55</v>
      </c>
      <c r="F38" s="126">
        <v>15</v>
      </c>
      <c r="G38" s="127">
        <v>1500</v>
      </c>
      <c r="H38" s="103"/>
      <c r="I38" s="139"/>
      <c r="J38" s="103"/>
      <c r="K38" s="103">
        <f>E38-I38</f>
        <v>6731.55</v>
      </c>
      <c r="L38" s="103">
        <v>0</v>
      </c>
      <c r="M38" s="103">
        <v>890.6</v>
      </c>
      <c r="N38" s="103">
        <f t="shared" si="23"/>
        <v>890.6</v>
      </c>
      <c r="O38" s="103">
        <v>0</v>
      </c>
      <c r="P38" s="156">
        <f t="shared" si="24"/>
        <v>774.13</v>
      </c>
      <c r="Q38" s="103">
        <f>SUM(N38:P38)+G38</f>
        <v>3164.73</v>
      </c>
      <c r="R38" s="167">
        <f t="shared" si="20"/>
        <v>3566.82</v>
      </c>
      <c r="S38" s="128">
        <f>+[1]IMSS!$AR$24/2</f>
        <v>404.53351659879451</v>
      </c>
      <c r="T38" s="128">
        <f t="shared" si="21"/>
        <v>1379.96775</v>
      </c>
      <c r="U38" s="157">
        <f t="shared" si="22"/>
        <v>134.63</v>
      </c>
      <c r="V38" s="129">
        <f t="shared" si="25"/>
        <v>1919.1312665987944</v>
      </c>
    </row>
    <row r="39" spans="2:22" ht="18.75" x14ac:dyDescent="0.3">
      <c r="B39" s="102" t="s">
        <v>75</v>
      </c>
      <c r="C39" s="179" t="s">
        <v>39</v>
      </c>
      <c r="D39" s="102" t="s">
        <v>126</v>
      </c>
      <c r="E39" s="103">
        <v>6731.55</v>
      </c>
      <c r="F39" s="126">
        <v>15</v>
      </c>
      <c r="G39" s="141"/>
      <c r="H39" s="103"/>
      <c r="I39" s="144"/>
      <c r="J39" s="103"/>
      <c r="K39" s="103">
        <f>E39-I39</f>
        <v>6731.55</v>
      </c>
      <c r="L39" s="103">
        <v>0</v>
      </c>
      <c r="M39" s="103">
        <v>890.6</v>
      </c>
      <c r="N39" s="103">
        <f t="shared" si="23"/>
        <v>890.6</v>
      </c>
      <c r="O39" s="103">
        <v>0</v>
      </c>
      <c r="P39" s="156">
        <f t="shared" si="24"/>
        <v>774.13</v>
      </c>
      <c r="Q39" s="103">
        <f>SUM(N39:P39)+G39</f>
        <v>1664.73</v>
      </c>
      <c r="R39" s="167">
        <f>K39-Q39</f>
        <v>5066.82</v>
      </c>
      <c r="S39" s="128">
        <f>+[1]IMSS!$AR$25/2</f>
        <v>404.53351659879451</v>
      </c>
      <c r="T39" s="128">
        <f t="shared" si="21"/>
        <v>1379.96775</v>
      </c>
      <c r="U39" s="157">
        <f t="shared" si="22"/>
        <v>134.63</v>
      </c>
      <c r="V39" s="129">
        <f t="shared" si="25"/>
        <v>1919.1312665987944</v>
      </c>
    </row>
    <row r="40" spans="2:22" ht="18.75" x14ac:dyDescent="0.3">
      <c r="B40" s="102" t="s">
        <v>76</v>
      </c>
      <c r="C40" s="179" t="s">
        <v>54</v>
      </c>
      <c r="D40" s="102" t="s">
        <v>126</v>
      </c>
      <c r="E40" s="103">
        <v>6731.55</v>
      </c>
      <c r="F40" s="126">
        <v>15</v>
      </c>
      <c r="G40" s="141"/>
      <c r="H40" s="103"/>
      <c r="I40" s="144"/>
      <c r="J40" s="103"/>
      <c r="K40" s="103">
        <f>E40-I40</f>
        <v>6731.55</v>
      </c>
      <c r="L40" s="103">
        <v>0</v>
      </c>
      <c r="M40" s="103">
        <v>890.6</v>
      </c>
      <c r="N40" s="103">
        <f t="shared" si="23"/>
        <v>890.6</v>
      </c>
      <c r="O40" s="103">
        <v>0</v>
      </c>
      <c r="P40" s="156">
        <f t="shared" si="24"/>
        <v>774.13</v>
      </c>
      <c r="Q40" s="103">
        <f t="shared" si="19"/>
        <v>1664.73</v>
      </c>
      <c r="R40" s="167">
        <f>K40-Q40</f>
        <v>5066.82</v>
      </c>
      <c r="S40" s="128">
        <f>+[1]IMSS!$AR$26/2</f>
        <v>404.53351659879451</v>
      </c>
      <c r="T40" s="128">
        <f t="shared" si="21"/>
        <v>1379.96775</v>
      </c>
      <c r="U40" s="157">
        <f t="shared" si="22"/>
        <v>134.63</v>
      </c>
      <c r="V40" s="129">
        <f t="shared" si="25"/>
        <v>1919.1312665987944</v>
      </c>
    </row>
    <row r="41" spans="2:22" ht="18.75" x14ac:dyDescent="0.3">
      <c r="B41" s="138" t="s">
        <v>20</v>
      </c>
      <c r="C41" s="132"/>
      <c r="D41" s="133"/>
      <c r="E41" s="134">
        <f>SUM(E30:E40)</f>
        <v>74473.000000000015</v>
      </c>
      <c r="F41" s="134"/>
      <c r="G41" s="134">
        <f>+G40+G39+G38+G37+G36+G35+G34+G31</f>
        <v>2072.98</v>
      </c>
      <c r="H41" s="134"/>
      <c r="I41" s="134">
        <f>SUM(I30:I40)</f>
        <v>0</v>
      </c>
      <c r="J41" s="134">
        <f t="shared" ref="J41:V41" si="26">SUM(J30:J40)</f>
        <v>0</v>
      </c>
      <c r="K41" s="134">
        <f>SUM(K30:K40)</f>
        <v>74473.000000000015</v>
      </c>
      <c r="L41" s="134">
        <f>SUM(L30:L40)</f>
        <v>0</v>
      </c>
      <c r="M41" s="134">
        <f>SUM(M30:M40)</f>
        <v>9887.5800000000017</v>
      </c>
      <c r="N41" s="134">
        <f>SUM(N30:N40)</f>
        <v>9887.5800000000017</v>
      </c>
      <c r="O41" s="134">
        <f t="shared" si="26"/>
        <v>0</v>
      </c>
      <c r="P41" s="134">
        <f t="shared" si="26"/>
        <v>8564.41</v>
      </c>
      <c r="Q41" s="134">
        <f t="shared" si="26"/>
        <v>20524.969999999998</v>
      </c>
      <c r="R41" s="135">
        <f t="shared" si="26"/>
        <v>53948.03</v>
      </c>
      <c r="S41" s="134">
        <f t="shared" si="26"/>
        <v>4462.302138035433</v>
      </c>
      <c r="T41" s="134">
        <f t="shared" si="26"/>
        <v>15266.964999999998</v>
      </c>
      <c r="U41" s="134">
        <f t="shared" si="26"/>
        <v>1489.4500000000003</v>
      </c>
      <c r="V41" s="134">
        <f t="shared" si="26"/>
        <v>21218.717138035427</v>
      </c>
    </row>
    <row r="42" spans="2:22" ht="18.75" hidden="1" x14ac:dyDescent="0.3">
      <c r="C42" s="136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37"/>
    </row>
    <row r="43" spans="2:22" ht="18.75" x14ac:dyDescent="0.3">
      <c r="B43" s="138" t="s">
        <v>78</v>
      </c>
      <c r="C43" s="132" t="s">
        <v>34</v>
      </c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37"/>
    </row>
    <row r="44" spans="2:22" ht="18.75" x14ac:dyDescent="0.3">
      <c r="B44" s="102" t="s">
        <v>69</v>
      </c>
      <c r="C44" s="179" t="s">
        <v>55</v>
      </c>
      <c r="D44" s="102" t="s">
        <v>130</v>
      </c>
      <c r="E44" s="103">
        <v>7157.5</v>
      </c>
      <c r="F44" s="126">
        <v>15</v>
      </c>
      <c r="G44" s="137"/>
      <c r="H44" s="103"/>
      <c r="I44" s="144"/>
      <c r="J44" s="141"/>
      <c r="K44" s="141">
        <f t="shared" ref="K44" si="27">E44-I44</f>
        <v>7157.5</v>
      </c>
      <c r="L44" s="141">
        <v>0</v>
      </c>
      <c r="M44" s="103">
        <v>981.58</v>
      </c>
      <c r="N44" s="103">
        <f>M44-L44</f>
        <v>981.58</v>
      </c>
      <c r="O44" s="103">
        <v>0</v>
      </c>
      <c r="P44" s="156">
        <f t="shared" ref="P44:P46" si="28">ROUND(E44*0.115,2)</f>
        <v>823.11</v>
      </c>
      <c r="Q44" s="103">
        <f t="shared" ref="Q44" si="29">SUM(N44:P44)+G44</f>
        <v>1804.69</v>
      </c>
      <c r="R44" s="167">
        <f t="shared" ref="R44" si="30">K44-Q44</f>
        <v>5352.8099999999995</v>
      </c>
      <c r="S44" s="128">
        <f>+[1]IMSS!$AR$27/2</f>
        <v>416.96697204748853</v>
      </c>
      <c r="T44" s="128">
        <f>+E44*17.5%+E44*3%</f>
        <v>1467.2874999999999</v>
      </c>
      <c r="U44" s="157">
        <f t="shared" ref="U44:U46" si="31">ROUND(+E44*2%,2)</f>
        <v>143.15</v>
      </c>
      <c r="V44" s="129">
        <f t="shared" ref="V44:V46" si="32">SUM(S44:U44)</f>
        <v>2027.4044720474885</v>
      </c>
    </row>
    <row r="45" spans="2:22" ht="18.75" x14ac:dyDescent="0.3">
      <c r="B45" s="102" t="s">
        <v>81</v>
      </c>
      <c r="C45" s="179" t="s">
        <v>44</v>
      </c>
      <c r="D45" s="102" t="s">
        <v>128</v>
      </c>
      <c r="E45" s="103">
        <v>6731.55</v>
      </c>
      <c r="F45" s="126">
        <v>15</v>
      </c>
      <c r="G45" s="141"/>
      <c r="H45" s="103"/>
      <c r="I45" s="144"/>
      <c r="J45" s="103"/>
      <c r="K45" s="103">
        <f>E45-I45</f>
        <v>6731.55</v>
      </c>
      <c r="L45" s="103">
        <v>0</v>
      </c>
      <c r="M45" s="103">
        <v>890.6</v>
      </c>
      <c r="N45" s="103">
        <f>M45-L45</f>
        <v>890.6</v>
      </c>
      <c r="O45" s="103">
        <v>0</v>
      </c>
      <c r="P45" s="156">
        <f t="shared" si="28"/>
        <v>774.13</v>
      </c>
      <c r="Q45" s="103">
        <f>SUM(N45:P45)+G45</f>
        <v>1664.73</v>
      </c>
      <c r="R45" s="167">
        <f>K45-Q45</f>
        <v>5066.82</v>
      </c>
      <c r="S45" s="128">
        <f>+[1]IMSS!$AR$28/2</f>
        <v>404.53351659879451</v>
      </c>
      <c r="T45" s="128">
        <f>+E45*17.5%+E45*3%</f>
        <v>1379.96775</v>
      </c>
      <c r="U45" s="157">
        <f t="shared" si="31"/>
        <v>134.63</v>
      </c>
      <c r="V45" s="129">
        <f t="shared" si="32"/>
        <v>1919.1312665987944</v>
      </c>
    </row>
    <row r="46" spans="2:22" ht="18.75" x14ac:dyDescent="0.3">
      <c r="B46" s="102" t="s">
        <v>107</v>
      </c>
      <c r="C46" s="179" t="s">
        <v>108</v>
      </c>
      <c r="D46" s="102" t="s">
        <v>109</v>
      </c>
      <c r="E46" s="103">
        <v>6731.55</v>
      </c>
      <c r="F46" s="126">
        <v>15</v>
      </c>
      <c r="G46" s="103"/>
      <c r="H46" s="103"/>
      <c r="I46" s="103"/>
      <c r="J46" s="103"/>
      <c r="K46" s="103">
        <f>E46-I46</f>
        <v>6731.55</v>
      </c>
      <c r="L46" s="103">
        <v>0</v>
      </c>
      <c r="M46" s="103">
        <v>890.6</v>
      </c>
      <c r="N46" s="103">
        <f>M46-L46</f>
        <v>890.6</v>
      </c>
      <c r="O46" s="103">
        <v>0</v>
      </c>
      <c r="P46" s="156">
        <f t="shared" si="28"/>
        <v>774.13</v>
      </c>
      <c r="Q46" s="103">
        <f>SUM(N46:P46)+G46</f>
        <v>1664.73</v>
      </c>
      <c r="R46" s="167">
        <f>K46-Q46</f>
        <v>5066.82</v>
      </c>
      <c r="S46" s="128">
        <f>+[1]IMSS!$AR$29/2</f>
        <v>404.53351659879451</v>
      </c>
      <c r="T46" s="128">
        <f>+E46*17.5%+E46*3%</f>
        <v>1379.96775</v>
      </c>
      <c r="U46" s="157">
        <f t="shared" si="31"/>
        <v>134.63</v>
      </c>
      <c r="V46" s="129">
        <f t="shared" si="32"/>
        <v>1919.1312665987944</v>
      </c>
    </row>
    <row r="47" spans="2:22" ht="18.75" x14ac:dyDescent="0.3">
      <c r="B47" s="138" t="s">
        <v>20</v>
      </c>
      <c r="C47" s="132"/>
      <c r="D47" s="133"/>
      <c r="E47" s="134">
        <f>E44+E45+E46</f>
        <v>20620.599999999999</v>
      </c>
      <c r="F47" s="134"/>
      <c r="G47" s="134">
        <f t="shared" ref="G47:V47" si="33">G44+G45+G46</f>
        <v>0</v>
      </c>
      <c r="H47" s="134">
        <f t="shared" si="33"/>
        <v>0</v>
      </c>
      <c r="I47" s="134">
        <f>I44+I45+I46</f>
        <v>0</v>
      </c>
      <c r="J47" s="134">
        <f t="shared" si="33"/>
        <v>0</v>
      </c>
      <c r="K47" s="134">
        <f>K44+K45+K46</f>
        <v>20620.599999999999</v>
      </c>
      <c r="L47" s="134">
        <f t="shared" ref="L47:M47" si="34">L44+L45+L46</f>
        <v>0</v>
      </c>
      <c r="M47" s="134">
        <f t="shared" si="34"/>
        <v>2762.78</v>
      </c>
      <c r="N47" s="134">
        <f>N44+N45+N46</f>
        <v>2762.78</v>
      </c>
      <c r="O47" s="134">
        <f t="shared" si="33"/>
        <v>0</v>
      </c>
      <c r="P47" s="134">
        <f t="shared" si="33"/>
        <v>2371.37</v>
      </c>
      <c r="Q47" s="134">
        <f t="shared" si="33"/>
        <v>5134.1499999999996</v>
      </c>
      <c r="R47" s="135">
        <f t="shared" si="33"/>
        <v>15486.449999999999</v>
      </c>
      <c r="S47" s="134">
        <f t="shared" si="33"/>
        <v>1226.0340052450774</v>
      </c>
      <c r="T47" s="134">
        <f t="shared" si="33"/>
        <v>4227.223</v>
      </c>
      <c r="U47" s="134">
        <f t="shared" si="33"/>
        <v>412.40999999999997</v>
      </c>
      <c r="V47" s="134">
        <f t="shared" si="33"/>
        <v>5865.6670052450772</v>
      </c>
    </row>
    <row r="48" spans="2:22" ht="18.75" hidden="1" x14ac:dyDescent="0.3">
      <c r="B48" s="138"/>
      <c r="C48" s="136"/>
      <c r="E48" s="103"/>
      <c r="F48" s="103"/>
      <c r="G48" s="103"/>
      <c r="H48" s="103"/>
      <c r="I48" s="103"/>
      <c r="J48" s="103"/>
      <c r="K48" s="146"/>
      <c r="L48" s="146"/>
      <c r="M48" s="146"/>
      <c r="N48" s="146"/>
      <c r="O48" s="146"/>
      <c r="P48" s="146"/>
      <c r="Q48" s="146"/>
      <c r="R48" s="147"/>
      <c r="S48" s="148"/>
      <c r="T48" s="148"/>
      <c r="U48" s="148"/>
      <c r="V48" s="148"/>
    </row>
    <row r="49" spans="2:22" ht="18.75" x14ac:dyDescent="0.3">
      <c r="B49" s="138" t="s">
        <v>84</v>
      </c>
      <c r="C49" s="132" t="s">
        <v>85</v>
      </c>
      <c r="E49" s="103"/>
      <c r="F49" s="103"/>
      <c r="G49" s="103"/>
      <c r="H49" s="103"/>
      <c r="I49" s="103"/>
      <c r="J49" s="103"/>
      <c r="K49" s="146"/>
      <c r="L49" s="146"/>
      <c r="M49" s="146"/>
      <c r="N49" s="146"/>
      <c r="O49" s="146"/>
      <c r="P49" s="146"/>
      <c r="Q49" s="146"/>
      <c r="R49" s="147"/>
      <c r="S49" s="148"/>
      <c r="T49" s="148"/>
      <c r="U49" s="148"/>
      <c r="V49" s="148"/>
    </row>
    <row r="50" spans="2:22" ht="18.75" x14ac:dyDescent="0.3">
      <c r="B50" s="102" t="s">
        <v>86</v>
      </c>
      <c r="C50" s="179" t="s">
        <v>30</v>
      </c>
      <c r="D50" s="102" t="s">
        <v>114</v>
      </c>
      <c r="E50" s="103">
        <v>12500</v>
      </c>
      <c r="F50" s="126">
        <v>15</v>
      </c>
      <c r="G50" s="127">
        <v>6127.07</v>
      </c>
      <c r="H50" s="103"/>
      <c r="I50" s="103"/>
      <c r="J50" s="103"/>
      <c r="K50" s="103">
        <f>E50-I50</f>
        <v>12500</v>
      </c>
      <c r="L50" s="103">
        <v>0</v>
      </c>
      <c r="M50" s="103">
        <v>2171.38</v>
      </c>
      <c r="N50" s="103">
        <f>M50-L50</f>
        <v>2171.38</v>
      </c>
      <c r="O50" s="103">
        <v>0</v>
      </c>
      <c r="P50" s="156">
        <f>ROUND(E50*0.115,2)</f>
        <v>1437.5</v>
      </c>
      <c r="Q50" s="103">
        <f>SUM(N50:P50)+G50</f>
        <v>9735.9500000000007</v>
      </c>
      <c r="R50" s="167">
        <f>K50-Q50</f>
        <v>2764.0499999999993</v>
      </c>
      <c r="S50" s="128">
        <f>+[1]IMSS!$AR$30/2</f>
        <v>572.91423284018265</v>
      </c>
      <c r="T50" s="128">
        <f>+E50*17.5%+E50*3%</f>
        <v>2562.5</v>
      </c>
      <c r="U50" s="157">
        <f>ROUND(+E50*2%,2)</f>
        <v>250</v>
      </c>
      <c r="V50" s="129">
        <f t="shared" ref="V50" si="35">SUM(S50:U50)</f>
        <v>3385.4142328401826</v>
      </c>
    </row>
    <row r="51" spans="2:22" ht="18.75" x14ac:dyDescent="0.3">
      <c r="B51" s="138" t="s">
        <v>20</v>
      </c>
      <c r="E51" s="134">
        <f>E50</f>
        <v>12500</v>
      </c>
      <c r="F51" s="134"/>
      <c r="G51" s="134">
        <f>+G50</f>
        <v>6127.07</v>
      </c>
      <c r="H51" s="134"/>
      <c r="I51" s="134">
        <f>I50</f>
        <v>0</v>
      </c>
      <c r="J51" s="134">
        <f>J50</f>
        <v>0</v>
      </c>
      <c r="K51" s="134">
        <f>K50</f>
        <v>12500</v>
      </c>
      <c r="L51" s="134">
        <f t="shared" ref="L51:V51" si="36">L50</f>
        <v>0</v>
      </c>
      <c r="M51" s="134">
        <f t="shared" si="36"/>
        <v>2171.38</v>
      </c>
      <c r="N51" s="134">
        <f t="shared" si="36"/>
        <v>2171.38</v>
      </c>
      <c r="O51" s="134">
        <f t="shared" si="36"/>
        <v>0</v>
      </c>
      <c r="P51" s="134">
        <f>P50</f>
        <v>1437.5</v>
      </c>
      <c r="Q51" s="134">
        <f t="shared" si="36"/>
        <v>9735.9500000000007</v>
      </c>
      <c r="R51" s="135">
        <f>R50</f>
        <v>2764.0499999999993</v>
      </c>
      <c r="S51" s="134">
        <f t="shared" si="36"/>
        <v>572.91423284018265</v>
      </c>
      <c r="T51" s="134">
        <f t="shared" si="36"/>
        <v>2562.5</v>
      </c>
      <c r="U51" s="134">
        <f t="shared" si="36"/>
        <v>250</v>
      </c>
      <c r="V51" s="134">
        <f t="shared" si="36"/>
        <v>3385.4142328401826</v>
      </c>
    </row>
    <row r="52" spans="2:22" ht="12" customHeight="1" x14ac:dyDescent="0.3">
      <c r="B52" s="138"/>
      <c r="E52" s="103"/>
      <c r="F52" s="103"/>
      <c r="G52" s="103"/>
      <c r="H52" s="103"/>
      <c r="I52" s="103"/>
      <c r="J52" s="103"/>
      <c r="K52" s="146"/>
      <c r="L52" s="146"/>
      <c r="M52" s="146"/>
      <c r="N52" s="146"/>
      <c r="O52" s="146"/>
      <c r="P52" s="146"/>
      <c r="Q52" s="146"/>
      <c r="R52" s="147"/>
      <c r="S52" s="148"/>
      <c r="T52" s="148"/>
      <c r="U52" s="148"/>
      <c r="V52" s="148"/>
    </row>
    <row r="53" spans="2:22" ht="18.75" hidden="1" x14ac:dyDescent="0.3">
      <c r="R53" s="149"/>
    </row>
    <row r="54" spans="2:22" ht="18.75" x14ac:dyDescent="0.3">
      <c r="C54" s="150" t="s">
        <v>56</v>
      </c>
      <c r="E54" s="151">
        <f>E9+E20+E27+E41+E47+E51</f>
        <v>210738.45</v>
      </c>
      <c r="F54" s="151"/>
      <c r="G54" s="152">
        <f>G9+G20+G27+G41+G47+G51</f>
        <v>17352.669999999998</v>
      </c>
      <c r="H54" s="151"/>
      <c r="I54" s="151">
        <f t="shared" ref="I54:V54" si="37">I9+I20+I27+I41+I47+I51</f>
        <v>0</v>
      </c>
      <c r="J54" s="151">
        <f t="shared" si="37"/>
        <v>0</v>
      </c>
      <c r="K54" s="151">
        <f t="shared" si="37"/>
        <v>210738.45</v>
      </c>
      <c r="L54" s="151">
        <f t="shared" si="37"/>
        <v>0</v>
      </c>
      <c r="M54" s="151">
        <f t="shared" si="37"/>
        <v>29657.230000000003</v>
      </c>
      <c r="N54" s="151">
        <f t="shared" si="37"/>
        <v>29657.230000000003</v>
      </c>
      <c r="O54" s="151">
        <f t="shared" si="37"/>
        <v>0</v>
      </c>
      <c r="P54" s="152">
        <f>P9+P20+P27+P41+P47+P51</f>
        <v>24234.95</v>
      </c>
      <c r="Q54" s="151">
        <f t="shared" si="37"/>
        <v>71244.850000000006</v>
      </c>
      <c r="R54" s="153">
        <f t="shared" si="37"/>
        <v>139493.59999999998</v>
      </c>
      <c r="S54" s="151">
        <f t="shared" si="37"/>
        <v>12184.602617183591</v>
      </c>
      <c r="T54" s="151">
        <f t="shared" si="37"/>
        <v>43201.452249999995</v>
      </c>
      <c r="U54" s="152">
        <f>U9+U20+U27+U41+U47+U51</f>
        <v>4214.74</v>
      </c>
      <c r="V54" s="154">
        <f t="shared" si="37"/>
        <v>59600.794867183577</v>
      </c>
    </row>
    <row r="63" spans="2:22" ht="16.5" thickBot="1" x14ac:dyDescent="0.3">
      <c r="E63" s="293"/>
      <c r="F63" s="293"/>
      <c r="G63" s="163"/>
      <c r="H63" s="163"/>
      <c r="P63" s="294"/>
      <c r="Q63" s="294"/>
    </row>
    <row r="64" spans="2:22" ht="15" x14ac:dyDescent="0.25">
      <c r="E64" s="295" t="s">
        <v>91</v>
      </c>
      <c r="F64" s="295"/>
      <c r="G64" s="164"/>
      <c r="H64" s="164"/>
      <c r="P64" s="155"/>
      <c r="Q64" s="155"/>
      <c r="R64" s="296" t="s">
        <v>82</v>
      </c>
      <c r="S64" s="296"/>
      <c r="T64" s="163"/>
    </row>
    <row r="68" spans="3:3" x14ac:dyDescent="0.25">
      <c r="C68" s="102" t="s">
        <v>90</v>
      </c>
    </row>
  </sheetData>
  <mergeCells count="5">
    <mergeCell ref="B4:V4"/>
    <mergeCell ref="E63:F63"/>
    <mergeCell ref="P63:Q63"/>
    <mergeCell ref="E64:F64"/>
    <mergeCell ref="R64:S64"/>
  </mergeCells>
  <pageMargins left="0.51181102362204722" right="0.51181102362204722" top="0.15748031496062992" bottom="0.35433070866141736" header="0.31496062992125984" footer="0.31496062992125984"/>
  <pageSetup scale="4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E8E0D-DD37-4ABD-B20E-230D3714D386}">
  <sheetPr>
    <pageSetUpPr fitToPage="1"/>
  </sheetPr>
  <dimension ref="B3:X75"/>
  <sheetViews>
    <sheetView topLeftCell="A35" zoomScale="85" zoomScaleNormal="85" workbookViewId="0">
      <selection activeCell="F52" sqref="F52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4.42578125" style="102" bestFit="1" customWidth="1"/>
    <col min="8" max="8" width="14.140625" style="102" hidden="1" customWidth="1"/>
    <col min="9" max="9" width="13.28515625" style="102" customWidth="1"/>
    <col min="10" max="10" width="13.28515625" style="102" hidden="1" customWidth="1"/>
    <col min="11" max="11" width="15.85546875" style="102" bestFit="1" customWidth="1"/>
    <col min="12" max="12" width="9.42578125" style="102" hidden="1" customWidth="1"/>
    <col min="13" max="13" width="14.42578125" style="102" hidden="1" customWidth="1"/>
    <col min="14" max="14" width="15.85546875" style="102" bestFit="1" customWidth="1"/>
    <col min="15" max="15" width="11.140625" style="102" bestFit="1" customWidth="1"/>
    <col min="16" max="16" width="14.42578125" style="102" bestFit="1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4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4" ht="16.5" customHeight="1" x14ac:dyDescent="0.25">
      <c r="B4" s="291" t="s">
        <v>166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4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2" t="s">
        <v>148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4" x14ac:dyDescent="0.25">
      <c r="B6" s="121" t="s">
        <v>13</v>
      </c>
      <c r="C6" s="5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4" ht="21" x14ac:dyDescent="0.35">
      <c r="B7" s="102" t="s">
        <v>15</v>
      </c>
      <c r="C7" s="125" t="s">
        <v>16</v>
      </c>
      <c r="D7" s="102" t="s">
        <v>19</v>
      </c>
      <c r="E7" s="103">
        <v>19461.365000000002</v>
      </c>
      <c r="F7" s="126">
        <v>15</v>
      </c>
      <c r="G7" s="141"/>
      <c r="H7" s="103"/>
      <c r="I7" s="103"/>
      <c r="J7" s="103"/>
      <c r="K7" s="103">
        <f>E7-I7</f>
        <v>19461.365000000002</v>
      </c>
      <c r="L7" s="103">
        <v>0</v>
      </c>
      <c r="M7" s="103"/>
      <c r="N7" s="103">
        <v>3721.35</v>
      </c>
      <c r="O7" s="103">
        <v>-0.04</v>
      </c>
      <c r="P7" s="156">
        <f>ROUND(E7*0.115,2)</f>
        <v>2238.06</v>
      </c>
      <c r="Q7" s="103">
        <f>SUM(N7:P7)+G7</f>
        <v>5959.37</v>
      </c>
      <c r="R7" s="171">
        <f>K7-Q7</f>
        <v>13501.995000000003</v>
      </c>
      <c r="S7" s="29">
        <v>816.3599999999999</v>
      </c>
      <c r="T7" s="128">
        <f>+E7*17.5%+E7*3%</f>
        <v>3989.5798249999998</v>
      </c>
      <c r="U7" s="157">
        <f>ROUND(+E7*2%,2)</f>
        <v>389.23</v>
      </c>
      <c r="V7" s="129">
        <f>SUM(S7:U7)</f>
        <v>5195.169824999999</v>
      </c>
      <c r="X7" s="169"/>
    </row>
    <row r="8" spans="2:24" ht="21" x14ac:dyDescent="0.35">
      <c r="B8" s="102" t="s">
        <v>17</v>
      </c>
      <c r="C8" s="125" t="s">
        <v>18</v>
      </c>
      <c r="D8" s="102" t="s">
        <v>2</v>
      </c>
      <c r="E8" s="103">
        <v>6247.33</v>
      </c>
      <c r="F8" s="126">
        <v>15</v>
      </c>
      <c r="G8" s="127">
        <v>1000</v>
      </c>
      <c r="H8" s="103"/>
      <c r="I8" s="130"/>
      <c r="J8" s="103"/>
      <c r="K8" s="103">
        <f>E8-I8</f>
        <v>6247.33</v>
      </c>
      <c r="L8" s="103">
        <v>0</v>
      </c>
      <c r="M8" s="103"/>
      <c r="N8" s="103">
        <v>696.21</v>
      </c>
      <c r="O8" s="103">
        <v>-0.12</v>
      </c>
      <c r="P8" s="156">
        <f>ROUND(E8*0.115,2)</f>
        <v>718.44</v>
      </c>
      <c r="Q8" s="103">
        <f>SUM(N8:P8)+G8</f>
        <v>2414.5300000000002</v>
      </c>
      <c r="R8" s="171">
        <f>K8-Q8</f>
        <v>3832.7999999999997</v>
      </c>
      <c r="S8" s="29">
        <v>409.92</v>
      </c>
      <c r="T8" s="128">
        <f>+E8*17.5%+E8*3%</f>
        <v>1280.7026499999997</v>
      </c>
      <c r="U8" s="157">
        <f>ROUND(+E8*2%,2)</f>
        <v>124.95</v>
      </c>
      <c r="V8" s="129">
        <f>SUM(S8:U8)</f>
        <v>1815.5726499999998</v>
      </c>
      <c r="X8" s="169"/>
    </row>
    <row r="9" spans="2:24" ht="18.75" x14ac:dyDescent="0.3">
      <c r="B9" s="131" t="s">
        <v>20</v>
      </c>
      <c r="C9" s="132"/>
      <c r="D9" s="133"/>
      <c r="E9" s="134">
        <f>SUM(E7:E8)</f>
        <v>25708.695</v>
      </c>
      <c r="F9" s="134"/>
      <c r="G9" s="134">
        <f>+G8+G7</f>
        <v>1000</v>
      </c>
      <c r="H9" s="134"/>
      <c r="I9" s="134">
        <f t="shared" ref="I9:V9" si="0">SUM(I7:I8)</f>
        <v>0</v>
      </c>
      <c r="J9" s="134">
        <f t="shared" si="0"/>
        <v>0</v>
      </c>
      <c r="K9" s="134">
        <f>SUM(K7:K8)</f>
        <v>25708.695</v>
      </c>
      <c r="L9" s="134">
        <f t="shared" si="0"/>
        <v>0</v>
      </c>
      <c r="M9" s="134">
        <f>SUM(M7:M8)</f>
        <v>0</v>
      </c>
      <c r="N9" s="134">
        <f>SUM(N7:N8)</f>
        <v>4417.5599999999995</v>
      </c>
      <c r="O9" s="134">
        <f t="shared" si="0"/>
        <v>-0.16</v>
      </c>
      <c r="P9" s="134">
        <f>SUM(P7:P8)</f>
        <v>2956.5</v>
      </c>
      <c r="Q9" s="134">
        <f t="shared" si="0"/>
        <v>8373.9</v>
      </c>
      <c r="R9" s="135">
        <f>SUM(R7:R8)</f>
        <v>17334.795000000002</v>
      </c>
      <c r="S9" s="134">
        <f>SUM(S7:S8)</f>
        <v>1226.28</v>
      </c>
      <c r="T9" s="134">
        <f t="shared" si="0"/>
        <v>5270.282475</v>
      </c>
      <c r="U9" s="134">
        <f>SUM(U7:U8)</f>
        <v>514.18000000000006</v>
      </c>
      <c r="V9" s="134">
        <f t="shared" si="0"/>
        <v>7010.7424749999991</v>
      </c>
      <c r="X9" s="169"/>
    </row>
    <row r="10" spans="2:24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4" ht="18.75" x14ac:dyDescent="0.3">
      <c r="B11" s="138" t="s">
        <v>21</v>
      </c>
      <c r="C11" s="31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4" ht="21" x14ac:dyDescent="0.35">
      <c r="B12" s="102" t="s">
        <v>23</v>
      </c>
      <c r="C12" s="125" t="s">
        <v>28</v>
      </c>
      <c r="D12" s="102" t="s">
        <v>114</v>
      </c>
      <c r="E12" s="103">
        <v>13000</v>
      </c>
      <c r="F12" s="126">
        <v>15</v>
      </c>
      <c r="G12" s="127">
        <v>3394</v>
      </c>
      <c r="H12" s="103"/>
      <c r="I12" s="103"/>
      <c r="J12" s="103"/>
      <c r="K12" s="103">
        <f t="shared" ref="K12:K18" si="1">E12-I12</f>
        <v>13000</v>
      </c>
      <c r="L12" s="103">
        <v>0</v>
      </c>
      <c r="M12" s="103"/>
      <c r="N12" s="103">
        <v>2161.23</v>
      </c>
      <c r="O12" s="103">
        <v>0.17</v>
      </c>
      <c r="P12" s="156">
        <f t="shared" ref="P12:P19" si="2">ROUND(E12*0.115,2)</f>
        <v>1495</v>
      </c>
      <c r="Q12" s="103">
        <f t="shared" ref="Q12:Q19" si="3">SUM(N12:P12)+G12</f>
        <v>7050.4</v>
      </c>
      <c r="R12" s="171">
        <f t="shared" ref="R12:R19" si="4">K12-Q12</f>
        <v>5949.6</v>
      </c>
      <c r="S12" s="29">
        <v>617.625</v>
      </c>
      <c r="T12" s="128">
        <f>ROUND(+E12*17.5%,2)+ROUND(E12*3%,2)</f>
        <v>2665</v>
      </c>
      <c r="U12" s="157">
        <f t="shared" ref="U12:U19" si="5">ROUND(+E12*2%,2)</f>
        <v>260</v>
      </c>
      <c r="V12" s="129">
        <f t="shared" ref="V12:V19" si="6">SUM(S12:U12)</f>
        <v>3542.625</v>
      </c>
      <c r="X12" s="169"/>
    </row>
    <row r="13" spans="2:24" ht="21" x14ac:dyDescent="0.35">
      <c r="B13" s="102" t="s">
        <v>24</v>
      </c>
      <c r="C13" s="125" t="s">
        <v>29</v>
      </c>
      <c r="D13" s="102" t="s">
        <v>116</v>
      </c>
      <c r="E13" s="103">
        <v>7000.8</v>
      </c>
      <c r="F13" s="126">
        <v>15</v>
      </c>
      <c r="G13" s="127">
        <v>2129.5700000000002</v>
      </c>
      <c r="H13" s="103"/>
      <c r="I13" s="139"/>
      <c r="J13" s="140"/>
      <c r="K13" s="103">
        <f>E13-I13</f>
        <v>7000.8</v>
      </c>
      <c r="L13" s="103">
        <v>0</v>
      </c>
      <c r="M13" s="103"/>
      <c r="N13" s="103">
        <v>857.15</v>
      </c>
      <c r="O13" s="103">
        <v>-0.01</v>
      </c>
      <c r="P13" s="156">
        <f t="shared" si="2"/>
        <v>805.09</v>
      </c>
      <c r="Q13" s="103">
        <f t="shared" si="3"/>
        <v>3791.8</v>
      </c>
      <c r="R13" s="171">
        <f t="shared" si="4"/>
        <v>3209</v>
      </c>
      <c r="S13" s="29">
        <v>433.09500000000003</v>
      </c>
      <c r="T13" s="128">
        <f t="shared" ref="T13:T19" si="7">ROUND(+E13*17.5%,2)+ROUND(E13*3%,2)</f>
        <v>1435.16</v>
      </c>
      <c r="U13" s="157">
        <f t="shared" si="5"/>
        <v>140.02000000000001</v>
      </c>
      <c r="V13" s="129">
        <f t="shared" si="6"/>
        <v>2008.2750000000001</v>
      </c>
      <c r="X13" s="169"/>
    </row>
    <row r="14" spans="2:24" ht="21" x14ac:dyDescent="0.35">
      <c r="B14" s="102" t="s">
        <v>25</v>
      </c>
      <c r="C14" s="30" t="s">
        <v>174</v>
      </c>
      <c r="D14" s="102" t="s">
        <v>115</v>
      </c>
      <c r="E14" s="103">
        <v>7000.8</v>
      </c>
      <c r="F14" s="126">
        <v>15</v>
      </c>
      <c r="G14" s="127">
        <v>1330.99</v>
      </c>
      <c r="H14" s="141"/>
      <c r="I14" s="139"/>
      <c r="J14" s="140"/>
      <c r="K14" s="103">
        <f>E14-I14</f>
        <v>7000.8</v>
      </c>
      <c r="L14" s="103">
        <v>0</v>
      </c>
      <c r="M14" s="103"/>
      <c r="N14" s="103">
        <v>857.15</v>
      </c>
      <c r="O14" s="103">
        <v>-0.03</v>
      </c>
      <c r="P14" s="156">
        <f>ROUND(E14*0.115,2)</f>
        <v>805.09</v>
      </c>
      <c r="Q14" s="103">
        <f>SUM(N14:P14)+G14</f>
        <v>2993.2</v>
      </c>
      <c r="R14" s="171">
        <f>K14-Q14</f>
        <v>4007.6000000000004</v>
      </c>
      <c r="S14" s="29">
        <v>433.09500000000003</v>
      </c>
      <c r="T14" s="128">
        <f t="shared" si="7"/>
        <v>1435.16</v>
      </c>
      <c r="U14" s="157">
        <f t="shared" si="5"/>
        <v>140.02000000000001</v>
      </c>
      <c r="V14" s="129">
        <f t="shared" si="6"/>
        <v>2008.2750000000001</v>
      </c>
      <c r="X14" s="169"/>
    </row>
    <row r="15" spans="2:24" ht="21" x14ac:dyDescent="0.35">
      <c r="B15" s="102" t="s">
        <v>26</v>
      </c>
      <c r="C15" s="125" t="s">
        <v>58</v>
      </c>
      <c r="D15" s="102" t="s">
        <v>37</v>
      </c>
      <c r="E15" s="103">
        <v>7443.8</v>
      </c>
      <c r="F15" s="126">
        <v>15</v>
      </c>
      <c r="G15" s="103"/>
      <c r="H15" s="103"/>
      <c r="I15" s="139"/>
      <c r="J15" s="103"/>
      <c r="K15" s="103">
        <f t="shared" si="1"/>
        <v>7443.8</v>
      </c>
      <c r="L15" s="103">
        <v>0</v>
      </c>
      <c r="M15" s="103"/>
      <c r="N15" s="103">
        <v>951.78</v>
      </c>
      <c r="O15" s="103">
        <v>-0.02</v>
      </c>
      <c r="P15" s="156">
        <f t="shared" si="2"/>
        <v>856.04</v>
      </c>
      <c r="Q15" s="103">
        <f t="shared" si="3"/>
        <v>1807.8</v>
      </c>
      <c r="R15" s="171">
        <f t="shared" si="4"/>
        <v>5636</v>
      </c>
      <c r="S15" s="29">
        <v>446.71999999999991</v>
      </c>
      <c r="T15" s="128">
        <f t="shared" si="7"/>
        <v>1525.98</v>
      </c>
      <c r="U15" s="157">
        <f t="shared" si="5"/>
        <v>148.88</v>
      </c>
      <c r="V15" s="129">
        <f t="shared" si="6"/>
        <v>2121.58</v>
      </c>
      <c r="X15" s="169"/>
    </row>
    <row r="16" spans="2:24" ht="21" x14ac:dyDescent="0.35">
      <c r="B16" s="102" t="s">
        <v>27</v>
      </c>
      <c r="C16" s="125" t="s">
        <v>40</v>
      </c>
      <c r="D16" s="102" t="s">
        <v>117</v>
      </c>
      <c r="E16" s="103">
        <v>4918.3649999999998</v>
      </c>
      <c r="F16" s="126">
        <v>15</v>
      </c>
      <c r="G16" s="127">
        <v>2050</v>
      </c>
      <c r="H16" s="103"/>
      <c r="I16" s="139"/>
      <c r="J16" s="103"/>
      <c r="K16" s="103">
        <f>E16-I16</f>
        <v>4918.3649999999998</v>
      </c>
      <c r="L16" s="103">
        <v>0</v>
      </c>
      <c r="M16" s="103"/>
      <c r="N16" s="103">
        <v>447.61</v>
      </c>
      <c r="O16" s="103">
        <v>-0.05</v>
      </c>
      <c r="P16" s="156">
        <f>ROUND(E16*0.115,2)</f>
        <v>565.61</v>
      </c>
      <c r="Q16" s="103">
        <f>SUM(N16:P16)+G16</f>
        <v>3063.17</v>
      </c>
      <c r="R16" s="171">
        <f t="shared" si="4"/>
        <v>1855.1949999999997</v>
      </c>
      <c r="S16" s="29">
        <v>373.15</v>
      </c>
      <c r="T16" s="128">
        <f t="shared" si="7"/>
        <v>1008.26</v>
      </c>
      <c r="U16" s="157">
        <f t="shared" si="5"/>
        <v>98.37</v>
      </c>
      <c r="V16" s="129">
        <f t="shared" si="6"/>
        <v>1479.7799999999997</v>
      </c>
      <c r="X16" s="169"/>
    </row>
    <row r="17" spans="2:24" ht="21" x14ac:dyDescent="0.35">
      <c r="B17" s="102" t="s">
        <v>60</v>
      </c>
      <c r="C17" s="125" t="s">
        <v>41</v>
      </c>
      <c r="D17" s="102" t="s">
        <v>118</v>
      </c>
      <c r="E17" s="103">
        <v>4918.3649999999998</v>
      </c>
      <c r="F17" s="126">
        <v>15</v>
      </c>
      <c r="G17" s="127">
        <v>1676.62</v>
      </c>
      <c r="H17" s="103"/>
      <c r="I17" s="139"/>
      <c r="J17" s="103"/>
      <c r="K17" s="103">
        <f>E17-I17</f>
        <v>4918.3649999999998</v>
      </c>
      <c r="L17" s="103">
        <v>0</v>
      </c>
      <c r="M17" s="103"/>
      <c r="N17" s="103">
        <v>447.61</v>
      </c>
      <c r="O17" s="103">
        <v>-7.0000000000000007E-2</v>
      </c>
      <c r="P17" s="156">
        <f t="shared" si="2"/>
        <v>565.61</v>
      </c>
      <c r="Q17" s="103">
        <f>SUM(N17:P17)+G17</f>
        <v>2689.77</v>
      </c>
      <c r="R17" s="171">
        <f>K17-Q17</f>
        <v>2228.5949999999998</v>
      </c>
      <c r="S17" s="29">
        <v>373.15</v>
      </c>
      <c r="T17" s="128">
        <f t="shared" si="7"/>
        <v>1008.26</v>
      </c>
      <c r="U17" s="157">
        <f t="shared" si="5"/>
        <v>98.37</v>
      </c>
      <c r="V17" s="129">
        <f t="shared" si="6"/>
        <v>1479.7799999999997</v>
      </c>
      <c r="X17" s="169"/>
    </row>
    <row r="18" spans="2:24" ht="21" x14ac:dyDescent="0.35">
      <c r="B18" s="102" t="s">
        <v>61</v>
      </c>
      <c r="C18" s="125" t="s">
        <v>43</v>
      </c>
      <c r="D18" s="102" t="s">
        <v>3</v>
      </c>
      <c r="E18" s="103">
        <v>4358.17</v>
      </c>
      <c r="F18" s="126">
        <v>15</v>
      </c>
      <c r="G18" s="127">
        <v>969</v>
      </c>
      <c r="H18" s="103"/>
      <c r="I18" s="103"/>
      <c r="J18" s="103"/>
      <c r="K18" s="103">
        <f t="shared" si="1"/>
        <v>4358.17</v>
      </c>
      <c r="L18" s="103"/>
      <c r="M18" s="103"/>
      <c r="N18" s="103">
        <v>357.97</v>
      </c>
      <c r="O18" s="103">
        <v>0.01</v>
      </c>
      <c r="P18" s="156">
        <f t="shared" si="2"/>
        <v>501.19</v>
      </c>
      <c r="Q18" s="103">
        <f t="shared" si="3"/>
        <v>1828.17</v>
      </c>
      <c r="R18" s="171">
        <f t="shared" si="4"/>
        <v>2530</v>
      </c>
      <c r="S18" s="29">
        <v>351.79499999999996</v>
      </c>
      <c r="T18" s="128">
        <f t="shared" si="7"/>
        <v>893.43</v>
      </c>
      <c r="U18" s="157">
        <f t="shared" si="5"/>
        <v>87.16</v>
      </c>
      <c r="V18" s="129">
        <f t="shared" si="6"/>
        <v>1332.385</v>
      </c>
      <c r="X18" s="169"/>
    </row>
    <row r="19" spans="2:24" ht="21" x14ac:dyDescent="0.35">
      <c r="B19" s="102" t="s">
        <v>62</v>
      </c>
      <c r="C19" s="125" t="s">
        <v>42</v>
      </c>
      <c r="D19" s="102" t="s">
        <v>119</v>
      </c>
      <c r="E19" s="103">
        <v>4918.3649999999998</v>
      </c>
      <c r="F19" s="126">
        <v>15</v>
      </c>
      <c r="G19" s="127">
        <v>1213.4000000000001</v>
      </c>
      <c r="H19" s="130"/>
      <c r="I19" s="139"/>
      <c r="J19" s="103"/>
      <c r="K19" s="103">
        <f>E19-I19+H19</f>
        <v>4918.3649999999998</v>
      </c>
      <c r="L19" s="103"/>
      <c r="M19" s="103"/>
      <c r="N19" s="103">
        <v>447.61</v>
      </c>
      <c r="O19" s="103">
        <v>-0.05</v>
      </c>
      <c r="P19" s="156">
        <f t="shared" si="2"/>
        <v>565.61</v>
      </c>
      <c r="Q19" s="103">
        <f t="shared" si="3"/>
        <v>2226.5700000000002</v>
      </c>
      <c r="R19" s="171">
        <f t="shared" si="4"/>
        <v>2691.7949999999996</v>
      </c>
      <c r="S19" s="29">
        <v>373.15</v>
      </c>
      <c r="T19" s="128">
        <f t="shared" si="7"/>
        <v>1008.26</v>
      </c>
      <c r="U19" s="157">
        <f t="shared" si="5"/>
        <v>98.37</v>
      </c>
      <c r="V19" s="129">
        <f t="shared" si="6"/>
        <v>1479.7799999999997</v>
      </c>
      <c r="X19" s="169"/>
    </row>
    <row r="20" spans="2:24" ht="18.75" x14ac:dyDescent="0.3">
      <c r="B20" s="138" t="s">
        <v>20</v>
      </c>
      <c r="C20" s="194"/>
      <c r="D20" s="133"/>
      <c r="E20" s="134">
        <f>SUM(E12:E19)</f>
        <v>53558.664999999994</v>
      </c>
      <c r="F20" s="134"/>
      <c r="G20" s="134">
        <f>+G19+G18+G17+G16+G12+G13+G14</f>
        <v>12763.58</v>
      </c>
      <c r="H20" s="134"/>
      <c r="I20" s="134">
        <f t="shared" ref="I20:V20" si="8">SUM(I12:I19)</f>
        <v>0</v>
      </c>
      <c r="J20" s="134">
        <f t="shared" si="8"/>
        <v>0</v>
      </c>
      <c r="K20" s="134">
        <f>SUM(K12:K19)</f>
        <v>53558.664999999994</v>
      </c>
      <c r="L20" s="134">
        <f t="shared" ref="L20" si="9">SUM(L12:L19)</f>
        <v>0</v>
      </c>
      <c r="M20" s="134">
        <f>SUM(M12:M19)</f>
        <v>0</v>
      </c>
      <c r="N20" s="134">
        <f>SUM(N12:N19)</f>
        <v>6528.11</v>
      </c>
      <c r="O20" s="134">
        <f t="shared" si="8"/>
        <v>-5.000000000000001E-2</v>
      </c>
      <c r="P20" s="134">
        <f>SUM(P12:P19)</f>
        <v>6159.2399999999989</v>
      </c>
      <c r="Q20" s="134">
        <f t="shared" si="8"/>
        <v>25450.880000000005</v>
      </c>
      <c r="R20" s="135">
        <f>SUM(R12:R19)</f>
        <v>28107.785</v>
      </c>
      <c r="S20" s="134">
        <f>SUM(S12:S19)</f>
        <v>3401.78</v>
      </c>
      <c r="T20" s="134">
        <f t="shared" si="8"/>
        <v>10979.51</v>
      </c>
      <c r="U20" s="134">
        <f>SUM(U12:U19)</f>
        <v>1071.19</v>
      </c>
      <c r="V20" s="134">
        <f t="shared" si="8"/>
        <v>15452.48</v>
      </c>
      <c r="X20" s="169"/>
    </row>
    <row r="21" spans="2:24" ht="18.75" hidden="1" x14ac:dyDescent="0.3">
      <c r="B21" s="138"/>
      <c r="C21" s="136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37"/>
      <c r="X21" s="169"/>
    </row>
    <row r="22" spans="2:24" ht="18.75" x14ac:dyDescent="0.3">
      <c r="B22" s="138" t="s">
        <v>31</v>
      </c>
      <c r="C22" s="31" t="s">
        <v>83</v>
      </c>
      <c r="E22" s="103"/>
      <c r="F22" s="103"/>
      <c r="G22" s="103"/>
      <c r="H22" s="103"/>
      <c r="I22" s="103"/>
      <c r="J22" s="103"/>
      <c r="K22" s="142"/>
      <c r="L22" s="142"/>
      <c r="M22" s="103"/>
      <c r="N22" s="103"/>
      <c r="O22" s="103"/>
      <c r="P22" s="103"/>
      <c r="Q22" s="103"/>
      <c r="R22" s="137"/>
      <c r="X22" s="169"/>
    </row>
    <row r="23" spans="2:24" ht="21" x14ac:dyDescent="0.35">
      <c r="B23" s="102" t="s">
        <v>63</v>
      </c>
      <c r="C23" s="125" t="s">
        <v>110</v>
      </c>
      <c r="D23" s="158" t="s">
        <v>132</v>
      </c>
      <c r="E23" s="103">
        <v>7000.8</v>
      </c>
      <c r="F23" s="126">
        <v>15</v>
      </c>
      <c r="G23" s="103"/>
      <c r="H23" s="103"/>
      <c r="I23" s="103"/>
      <c r="J23" s="103"/>
      <c r="K23" s="103">
        <f>E23-I23</f>
        <v>7000.8</v>
      </c>
      <c r="L23" s="103">
        <v>0</v>
      </c>
      <c r="M23" s="103"/>
      <c r="N23" s="103">
        <v>857.15</v>
      </c>
      <c r="O23" s="103">
        <v>0.16</v>
      </c>
      <c r="P23" s="156">
        <f>ROUND(E23*0.115,2)</f>
        <v>805.09</v>
      </c>
      <c r="Q23" s="103">
        <f t="shared" ref="Q23:Q24" si="10">SUM(N23:P23)+G23</f>
        <v>1662.4</v>
      </c>
      <c r="R23" s="171">
        <f>K23-Q23</f>
        <v>5338.4</v>
      </c>
      <c r="S23" s="170">
        <v>433.09500000000003</v>
      </c>
      <c r="T23" s="128">
        <f t="shared" ref="T23:T26" si="11">ROUND(+E23*17.5%,2)+ROUND(E23*3%,2)</f>
        <v>1435.16</v>
      </c>
      <c r="U23" s="157">
        <f t="shared" ref="U23:U26" si="12">ROUND(+E23*2%,2)</f>
        <v>140.02000000000001</v>
      </c>
      <c r="V23" s="129">
        <f t="shared" ref="V23:V24" si="13">SUM(S23:U23)</f>
        <v>2008.2750000000001</v>
      </c>
      <c r="X23" s="169"/>
    </row>
    <row r="24" spans="2:24" ht="21" x14ac:dyDescent="0.35">
      <c r="B24" s="102" t="s">
        <v>112</v>
      </c>
      <c r="C24" s="125" t="s">
        <v>113</v>
      </c>
      <c r="D24" s="158" t="s">
        <v>133</v>
      </c>
      <c r="E24" s="103">
        <v>7000.8</v>
      </c>
      <c r="F24" s="126">
        <v>15</v>
      </c>
      <c r="G24" s="103"/>
      <c r="H24" s="103"/>
      <c r="I24" s="103"/>
      <c r="J24" s="103"/>
      <c r="K24" s="103">
        <f>E24-I24</f>
        <v>7000.8</v>
      </c>
      <c r="L24" s="103">
        <v>0</v>
      </c>
      <c r="M24" s="103"/>
      <c r="N24" s="103">
        <v>857.15</v>
      </c>
      <c r="O24" s="103">
        <v>-0.04</v>
      </c>
      <c r="P24" s="156">
        <f>ROUND(E24*0.115,2)</f>
        <v>805.09</v>
      </c>
      <c r="Q24" s="103">
        <f t="shared" si="10"/>
        <v>1662.2</v>
      </c>
      <c r="R24" s="171">
        <f>K24-Q24</f>
        <v>5338.6</v>
      </c>
      <c r="S24" s="170">
        <v>433.09500000000003</v>
      </c>
      <c r="T24" s="128">
        <f t="shared" si="11"/>
        <v>1435.16</v>
      </c>
      <c r="U24" s="157">
        <f t="shared" si="12"/>
        <v>140.02000000000001</v>
      </c>
      <c r="V24" s="129">
        <f t="shared" si="13"/>
        <v>2008.2750000000001</v>
      </c>
      <c r="X24" s="169"/>
    </row>
    <row r="25" spans="2:24" ht="21" x14ac:dyDescent="0.35">
      <c r="B25" s="102" t="s">
        <v>64</v>
      </c>
      <c r="C25" s="125" t="s">
        <v>45</v>
      </c>
      <c r="D25" s="102" t="s">
        <v>122</v>
      </c>
      <c r="E25" s="103">
        <v>7000.8</v>
      </c>
      <c r="F25" s="126">
        <v>15</v>
      </c>
      <c r="G25" s="141"/>
      <c r="H25" s="103"/>
      <c r="I25" s="143"/>
      <c r="J25" s="103"/>
      <c r="K25" s="103">
        <f>E25-I25</f>
        <v>7000.8</v>
      </c>
      <c r="L25" s="103">
        <v>0</v>
      </c>
      <c r="M25" s="103"/>
      <c r="N25" s="103">
        <v>857.15</v>
      </c>
      <c r="O25" s="103">
        <v>-0.04</v>
      </c>
      <c r="P25" s="156">
        <f>ROUND(E25*0.115,2)</f>
        <v>805.09</v>
      </c>
      <c r="Q25" s="103">
        <f>SUM(N25:P25)+G25</f>
        <v>1662.2</v>
      </c>
      <c r="R25" s="171">
        <f>K25-Q25</f>
        <v>5338.6</v>
      </c>
      <c r="S25" s="170">
        <v>433.09500000000003</v>
      </c>
      <c r="T25" s="128">
        <f t="shared" si="11"/>
        <v>1435.16</v>
      </c>
      <c r="U25" s="157">
        <f t="shared" si="12"/>
        <v>140.02000000000001</v>
      </c>
      <c r="V25" s="129">
        <f>SUM(S25:U25)</f>
        <v>2008.2750000000001</v>
      </c>
      <c r="X25" s="169"/>
    </row>
    <row r="26" spans="2:24" ht="21" x14ac:dyDescent="0.35">
      <c r="B26" s="102" t="s">
        <v>65</v>
      </c>
      <c r="C26" s="125" t="s">
        <v>59</v>
      </c>
      <c r="D26" s="158" t="s">
        <v>134</v>
      </c>
      <c r="E26" s="103">
        <v>7000.8</v>
      </c>
      <c r="F26" s="126">
        <v>15</v>
      </c>
      <c r="G26" s="127">
        <v>1189</v>
      </c>
      <c r="H26" s="130"/>
      <c r="I26" s="130"/>
      <c r="J26" s="103"/>
      <c r="K26" s="103">
        <f>E26-I26+H26</f>
        <v>7000.8</v>
      </c>
      <c r="L26" s="103">
        <v>0</v>
      </c>
      <c r="M26" s="103"/>
      <c r="N26" s="103">
        <v>857.15</v>
      </c>
      <c r="O26" s="103">
        <v>-0.04</v>
      </c>
      <c r="P26" s="156">
        <f>ROUND(E26*0.115,2)</f>
        <v>805.09</v>
      </c>
      <c r="Q26" s="103">
        <f>SUM(N26:P26)+G26</f>
        <v>2851.2</v>
      </c>
      <c r="R26" s="171">
        <f>K26-Q26</f>
        <v>4149.6000000000004</v>
      </c>
      <c r="S26" s="170">
        <v>433.09500000000003</v>
      </c>
      <c r="T26" s="128">
        <f t="shared" si="11"/>
        <v>1435.16</v>
      </c>
      <c r="U26" s="157">
        <f t="shared" si="12"/>
        <v>140.02000000000001</v>
      </c>
      <c r="V26" s="129">
        <f>SUM(S26:U26)</f>
        <v>2008.2750000000001</v>
      </c>
      <c r="X26" s="169"/>
    </row>
    <row r="27" spans="2:24" ht="18.75" x14ac:dyDescent="0.3">
      <c r="B27" s="138" t="s">
        <v>20</v>
      </c>
      <c r="C27" s="132"/>
      <c r="D27" s="133"/>
      <c r="E27" s="134">
        <f>SUM(E23:E26)</f>
        <v>28003.200000000001</v>
      </c>
      <c r="F27" s="134"/>
      <c r="G27" s="134">
        <f>+G26+G25+G23+G24</f>
        <v>1189</v>
      </c>
      <c r="H27" s="134"/>
      <c r="I27" s="134">
        <f t="shared" ref="I27:J27" si="14">SUM(I23:I26)</f>
        <v>0</v>
      </c>
      <c r="J27" s="134">
        <f t="shared" si="14"/>
        <v>0</v>
      </c>
      <c r="K27" s="134">
        <f>SUM(K23:K26)</f>
        <v>28003.200000000001</v>
      </c>
      <c r="L27" s="134">
        <f t="shared" ref="L27" si="15">SUM(L23:L26)</f>
        <v>0</v>
      </c>
      <c r="M27" s="134">
        <f>SUM(M23:M26)</f>
        <v>0</v>
      </c>
      <c r="N27" s="134">
        <f>SUM(N23:N26)</f>
        <v>3428.6</v>
      </c>
      <c r="O27" s="134">
        <f t="shared" ref="O27:Q27" si="16">SUM(O23:O26)</f>
        <v>3.9999999999999987E-2</v>
      </c>
      <c r="P27" s="134">
        <f>SUM(P23:P26)</f>
        <v>3220.36</v>
      </c>
      <c r="Q27" s="134">
        <f t="shared" si="16"/>
        <v>7838</v>
      </c>
      <c r="R27" s="135">
        <f>SUM(R23:R26)</f>
        <v>20165.2</v>
      </c>
      <c r="S27" s="134">
        <f>SUM(S23:S26)</f>
        <v>1732.38</v>
      </c>
      <c r="T27" s="134">
        <f>SUM(T23:T26)</f>
        <v>5740.64</v>
      </c>
      <c r="U27" s="134">
        <f>SUM(U23:U26)</f>
        <v>560.08000000000004</v>
      </c>
      <c r="V27" s="134">
        <f>SUM(V23:V26)</f>
        <v>8033.1</v>
      </c>
      <c r="X27" s="169"/>
    </row>
    <row r="28" spans="2:24" ht="18.75" hidden="1" x14ac:dyDescent="0.3">
      <c r="C28" s="136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37"/>
      <c r="X28" s="169"/>
    </row>
    <row r="29" spans="2:24" ht="18.75" x14ac:dyDescent="0.3">
      <c r="B29" s="138" t="s">
        <v>33</v>
      </c>
      <c r="C29" s="31" t="s">
        <v>32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37"/>
      <c r="X29" s="169"/>
    </row>
    <row r="30" spans="2:24" ht="21" x14ac:dyDescent="0.35">
      <c r="B30" s="102" t="s">
        <v>66</v>
      </c>
      <c r="C30" s="125" t="s">
        <v>49</v>
      </c>
      <c r="D30" s="158" t="s">
        <v>128</v>
      </c>
      <c r="E30" s="103">
        <v>7000.8</v>
      </c>
      <c r="F30" s="126">
        <v>15</v>
      </c>
      <c r="G30" s="103"/>
      <c r="H30" s="103"/>
      <c r="I30" s="144"/>
      <c r="J30" s="103"/>
      <c r="K30" s="103">
        <f t="shared" ref="K30:K44" si="17">E30-I30</f>
        <v>7000.8</v>
      </c>
      <c r="L30" s="103">
        <v>0</v>
      </c>
      <c r="M30" s="103"/>
      <c r="N30" s="103">
        <v>857.15</v>
      </c>
      <c r="O30" s="103">
        <v>-0.04</v>
      </c>
      <c r="P30" s="156">
        <f>ROUND(E30*0.115,2)</f>
        <v>805.09</v>
      </c>
      <c r="Q30" s="103">
        <f t="shared" ref="Q30:Q40" si="18">SUM(N30:P30)+G30</f>
        <v>1662.2</v>
      </c>
      <c r="R30" s="171">
        <f t="shared" ref="R30:R44" si="19">K30-Q30</f>
        <v>5338.6</v>
      </c>
      <c r="S30" s="170">
        <v>433.09500000000003</v>
      </c>
      <c r="T30" s="128">
        <f t="shared" ref="T30:T40" si="20">ROUND(+E30*17.5%,2)+ROUND(E30*3%,2)</f>
        <v>1435.16</v>
      </c>
      <c r="U30" s="157">
        <f t="shared" ref="U30:U40" si="21">ROUND(+E30*2%,2)</f>
        <v>140.02000000000001</v>
      </c>
      <c r="V30" s="129">
        <f>SUM(S30:U30)</f>
        <v>2008.2750000000001</v>
      </c>
      <c r="X30" s="169"/>
    </row>
    <row r="31" spans="2:24" ht="21" x14ac:dyDescent="0.35">
      <c r="B31" s="102" t="s">
        <v>67</v>
      </c>
      <c r="C31" s="125" t="s">
        <v>51</v>
      </c>
      <c r="D31" s="158" t="s">
        <v>135</v>
      </c>
      <c r="E31" s="103">
        <v>7000.8</v>
      </c>
      <c r="F31" s="126">
        <v>15</v>
      </c>
      <c r="G31" s="141"/>
      <c r="H31" s="103"/>
      <c r="I31" s="130"/>
      <c r="J31" s="141"/>
      <c r="K31" s="141">
        <f t="shared" si="17"/>
        <v>7000.8</v>
      </c>
      <c r="L31" s="141">
        <v>0</v>
      </c>
      <c r="M31" s="103"/>
      <c r="N31" s="103">
        <v>857.15</v>
      </c>
      <c r="O31" s="103">
        <v>-0.04</v>
      </c>
      <c r="P31" s="156">
        <f t="shared" ref="P31:P40" si="22">ROUND(E31*0.115,2)</f>
        <v>805.09</v>
      </c>
      <c r="Q31" s="103">
        <f>SUM(N31:P31)+G31</f>
        <v>1662.2</v>
      </c>
      <c r="R31" s="171">
        <f t="shared" si="19"/>
        <v>5338.6</v>
      </c>
      <c r="S31" s="170">
        <v>433.09500000000003</v>
      </c>
      <c r="T31" s="128">
        <f t="shared" si="20"/>
        <v>1435.16</v>
      </c>
      <c r="U31" s="157">
        <f t="shared" si="21"/>
        <v>140.02000000000001</v>
      </c>
      <c r="V31" s="129">
        <f>SUM(S31:U31)</f>
        <v>2008.2750000000001</v>
      </c>
      <c r="X31" s="169"/>
    </row>
    <row r="32" spans="2:24" ht="21" x14ac:dyDescent="0.35">
      <c r="B32" s="102" t="s">
        <v>68</v>
      </c>
      <c r="C32" s="125" t="s">
        <v>48</v>
      </c>
      <c r="D32" s="102" t="s">
        <v>123</v>
      </c>
      <c r="E32" s="103">
        <v>7443.8</v>
      </c>
      <c r="F32" s="126">
        <v>15</v>
      </c>
      <c r="G32" s="103"/>
      <c r="H32" s="103"/>
      <c r="I32" s="130"/>
      <c r="J32" s="103"/>
      <c r="K32" s="103">
        <f t="shared" si="17"/>
        <v>7443.8</v>
      </c>
      <c r="L32" s="103">
        <v>0</v>
      </c>
      <c r="M32" s="103"/>
      <c r="N32" s="103">
        <v>951.78</v>
      </c>
      <c r="O32" s="103">
        <v>0.18</v>
      </c>
      <c r="P32" s="156">
        <f t="shared" si="22"/>
        <v>856.04</v>
      </c>
      <c r="Q32" s="103">
        <f t="shared" si="18"/>
        <v>1808</v>
      </c>
      <c r="R32" s="171">
        <f t="shared" si="19"/>
        <v>5635.8</v>
      </c>
      <c r="S32" s="170">
        <v>446.71999999999991</v>
      </c>
      <c r="T32" s="128">
        <f t="shared" si="20"/>
        <v>1525.98</v>
      </c>
      <c r="U32" s="157">
        <f>ROUND(+E32*2%,2)</f>
        <v>148.88</v>
      </c>
      <c r="V32" s="129">
        <f t="shared" ref="V32:V40" si="23">SUM(S32:U32)</f>
        <v>2121.58</v>
      </c>
      <c r="X32" s="169"/>
    </row>
    <row r="33" spans="2:24" ht="21" x14ac:dyDescent="0.35">
      <c r="B33" s="102" t="s">
        <v>77</v>
      </c>
      <c r="C33" s="125" t="s">
        <v>111</v>
      </c>
      <c r="D33" s="102" t="s">
        <v>127</v>
      </c>
      <c r="E33" s="103">
        <v>7000.8</v>
      </c>
      <c r="F33" s="126">
        <v>15</v>
      </c>
      <c r="G33" s="127">
        <v>1167</v>
      </c>
      <c r="H33" s="103"/>
      <c r="I33" s="144"/>
      <c r="J33" s="103"/>
      <c r="K33" s="103">
        <f>E33-I33</f>
        <v>7000.8</v>
      </c>
      <c r="L33" s="103">
        <v>0</v>
      </c>
      <c r="M33" s="103"/>
      <c r="N33" s="103">
        <v>857.15</v>
      </c>
      <c r="O33" s="103">
        <v>0.16</v>
      </c>
      <c r="P33" s="156">
        <f t="shared" si="22"/>
        <v>805.09</v>
      </c>
      <c r="Q33" s="103">
        <f>SUM(N33:P33)+G33</f>
        <v>2829.4</v>
      </c>
      <c r="R33" s="171">
        <f>K33-Q33</f>
        <v>4171.3999999999996</v>
      </c>
      <c r="S33" s="170">
        <v>433.09500000000003</v>
      </c>
      <c r="T33" s="128">
        <f t="shared" si="20"/>
        <v>1435.16</v>
      </c>
      <c r="U33" s="157">
        <f t="shared" si="21"/>
        <v>140.02000000000001</v>
      </c>
      <c r="V33" s="129">
        <f t="shared" si="23"/>
        <v>2008.2750000000001</v>
      </c>
      <c r="X33" s="169"/>
    </row>
    <row r="34" spans="2:24" ht="21" x14ac:dyDescent="0.35">
      <c r="B34" s="102" t="s">
        <v>70</v>
      </c>
      <c r="C34" s="125" t="s">
        <v>46</v>
      </c>
      <c r="D34" s="102" t="s">
        <v>124</v>
      </c>
      <c r="E34" s="103">
        <v>7000.8</v>
      </c>
      <c r="F34" s="126">
        <v>15</v>
      </c>
      <c r="G34" s="127">
        <v>572.98</v>
      </c>
      <c r="H34" s="103"/>
      <c r="I34" s="139"/>
      <c r="J34" s="141"/>
      <c r="K34" s="141">
        <f t="shared" si="17"/>
        <v>7000.8</v>
      </c>
      <c r="L34" s="141">
        <v>0</v>
      </c>
      <c r="M34" s="103"/>
      <c r="N34" s="103">
        <v>857.15</v>
      </c>
      <c r="O34" s="103">
        <v>-0.02</v>
      </c>
      <c r="P34" s="156">
        <f t="shared" si="22"/>
        <v>805.09</v>
      </c>
      <c r="Q34" s="103">
        <f t="shared" si="18"/>
        <v>2235.1999999999998</v>
      </c>
      <c r="R34" s="171">
        <f t="shared" si="19"/>
        <v>4765.6000000000004</v>
      </c>
      <c r="S34" s="170">
        <v>433.09500000000003</v>
      </c>
      <c r="T34" s="128">
        <f t="shared" si="20"/>
        <v>1435.16</v>
      </c>
      <c r="U34" s="157">
        <f t="shared" si="21"/>
        <v>140.02000000000001</v>
      </c>
      <c r="V34" s="129">
        <f t="shared" si="23"/>
        <v>2008.2750000000001</v>
      </c>
      <c r="X34" s="169"/>
    </row>
    <row r="35" spans="2:24" ht="21" x14ac:dyDescent="0.35">
      <c r="B35" s="102" t="s">
        <v>71</v>
      </c>
      <c r="C35" s="125" t="s">
        <v>50</v>
      </c>
      <c r="D35" s="102" t="s">
        <v>124</v>
      </c>
      <c r="E35" s="103">
        <v>7000.8</v>
      </c>
      <c r="F35" s="126">
        <v>15</v>
      </c>
      <c r="G35" s="103"/>
      <c r="H35" s="141"/>
      <c r="I35" s="130"/>
      <c r="J35" s="141"/>
      <c r="K35" s="141">
        <f t="shared" si="17"/>
        <v>7000.8</v>
      </c>
      <c r="L35" s="141">
        <v>0</v>
      </c>
      <c r="M35" s="103"/>
      <c r="N35" s="103">
        <v>857.15</v>
      </c>
      <c r="O35" s="103">
        <v>-0.04</v>
      </c>
      <c r="P35" s="156">
        <f t="shared" si="22"/>
        <v>805.09</v>
      </c>
      <c r="Q35" s="103">
        <f t="shared" si="18"/>
        <v>1662.2</v>
      </c>
      <c r="R35" s="171">
        <f t="shared" si="19"/>
        <v>5338.6</v>
      </c>
      <c r="S35" s="170">
        <v>433.09500000000003</v>
      </c>
      <c r="T35" s="128">
        <f t="shared" si="20"/>
        <v>1435.16</v>
      </c>
      <c r="U35" s="157">
        <f t="shared" si="21"/>
        <v>140.02000000000001</v>
      </c>
      <c r="V35" s="129">
        <f t="shared" si="23"/>
        <v>2008.2750000000001</v>
      </c>
      <c r="X35" s="169"/>
    </row>
    <row r="36" spans="2:24" ht="21" x14ac:dyDescent="0.35">
      <c r="B36" s="102" t="s">
        <v>72</v>
      </c>
      <c r="C36" s="125" t="s">
        <v>52</v>
      </c>
      <c r="D36" s="102" t="s">
        <v>124</v>
      </c>
      <c r="E36" s="103">
        <v>7000.8</v>
      </c>
      <c r="F36" s="126">
        <v>15</v>
      </c>
      <c r="G36" s="103"/>
      <c r="H36" s="103"/>
      <c r="I36" s="139"/>
      <c r="J36" s="141"/>
      <c r="K36" s="141">
        <f t="shared" si="17"/>
        <v>7000.8</v>
      </c>
      <c r="L36" s="141">
        <v>0</v>
      </c>
      <c r="M36" s="103"/>
      <c r="N36" s="103">
        <v>857.15</v>
      </c>
      <c r="O36" s="103">
        <v>0.16</v>
      </c>
      <c r="P36" s="156">
        <f t="shared" si="22"/>
        <v>805.09</v>
      </c>
      <c r="Q36" s="103">
        <f t="shared" si="18"/>
        <v>1662.4</v>
      </c>
      <c r="R36" s="171">
        <f t="shared" si="19"/>
        <v>5338.4</v>
      </c>
      <c r="S36" s="170">
        <v>433.09500000000003</v>
      </c>
      <c r="T36" s="128">
        <f t="shared" si="20"/>
        <v>1435.16</v>
      </c>
      <c r="U36" s="157">
        <f t="shared" si="21"/>
        <v>140.02000000000001</v>
      </c>
      <c r="V36" s="129">
        <f t="shared" si="23"/>
        <v>2008.2750000000001</v>
      </c>
      <c r="X36" s="169"/>
    </row>
    <row r="37" spans="2:24" ht="21" x14ac:dyDescent="0.35">
      <c r="B37" s="202" t="s">
        <v>73</v>
      </c>
      <c r="C37" s="203" t="s">
        <v>165</v>
      </c>
      <c r="D37" s="202" t="s">
        <v>125</v>
      </c>
      <c r="E37" s="6">
        <v>0</v>
      </c>
      <c r="F37" s="204">
        <v>15</v>
      </c>
      <c r="G37" s="6"/>
      <c r="H37" s="6"/>
      <c r="I37" s="205"/>
      <c r="J37" s="6"/>
      <c r="K37" s="6">
        <f t="shared" si="17"/>
        <v>0</v>
      </c>
      <c r="L37" s="6">
        <v>0</v>
      </c>
      <c r="M37" s="6"/>
      <c r="N37" s="6">
        <v>0</v>
      </c>
      <c r="O37" s="6">
        <v>-0.04</v>
      </c>
      <c r="P37" s="6">
        <f t="shared" si="22"/>
        <v>0</v>
      </c>
      <c r="Q37" s="6">
        <v>0</v>
      </c>
      <c r="R37" s="201">
        <f>K37-Q37</f>
        <v>0</v>
      </c>
      <c r="S37" s="170">
        <v>433.09500000000003</v>
      </c>
      <c r="T37" s="206">
        <f t="shared" si="20"/>
        <v>0</v>
      </c>
      <c r="U37" s="206">
        <f t="shared" si="21"/>
        <v>0</v>
      </c>
      <c r="V37" s="207">
        <f t="shared" si="23"/>
        <v>433.09500000000003</v>
      </c>
      <c r="X37" s="169"/>
    </row>
    <row r="38" spans="2:24" ht="21" x14ac:dyDescent="0.35">
      <c r="B38" s="102" t="s">
        <v>74</v>
      </c>
      <c r="C38" s="125" t="s">
        <v>53</v>
      </c>
      <c r="D38" s="102" t="s">
        <v>125</v>
      </c>
      <c r="E38" s="103">
        <v>7000.8</v>
      </c>
      <c r="F38" s="126">
        <v>15</v>
      </c>
      <c r="G38" s="141"/>
      <c r="H38" s="103"/>
      <c r="I38" s="139"/>
      <c r="J38" s="103"/>
      <c r="K38" s="103">
        <f t="shared" si="17"/>
        <v>7000.8</v>
      </c>
      <c r="L38" s="103">
        <v>0</v>
      </c>
      <c r="M38" s="103"/>
      <c r="N38" s="103">
        <v>857.15</v>
      </c>
      <c r="O38" s="103">
        <v>-0.04</v>
      </c>
      <c r="P38" s="156">
        <f t="shared" si="22"/>
        <v>805.09</v>
      </c>
      <c r="Q38" s="103">
        <f>SUM(N38:P38)+G38</f>
        <v>1662.2</v>
      </c>
      <c r="R38" s="171">
        <f t="shared" si="19"/>
        <v>5338.6</v>
      </c>
      <c r="S38" s="170">
        <v>433.09500000000003</v>
      </c>
      <c r="T38" s="128">
        <f t="shared" si="20"/>
        <v>1435.16</v>
      </c>
      <c r="U38" s="157">
        <f t="shared" si="21"/>
        <v>140.02000000000001</v>
      </c>
      <c r="V38" s="129">
        <f t="shared" si="23"/>
        <v>2008.2750000000001</v>
      </c>
      <c r="X38" s="169"/>
    </row>
    <row r="39" spans="2:24" ht="21" x14ac:dyDescent="0.35">
      <c r="B39" s="102" t="s">
        <v>75</v>
      </c>
      <c r="C39" s="125" t="s">
        <v>39</v>
      </c>
      <c r="D39" s="102" t="s">
        <v>126</v>
      </c>
      <c r="E39" s="103">
        <v>7000.8</v>
      </c>
      <c r="F39" s="126">
        <v>15</v>
      </c>
      <c r="G39" s="141"/>
      <c r="H39" s="103"/>
      <c r="I39" s="144"/>
      <c r="J39" s="103"/>
      <c r="K39" s="103">
        <f t="shared" si="17"/>
        <v>7000.8</v>
      </c>
      <c r="L39" s="103">
        <v>0</v>
      </c>
      <c r="M39" s="103"/>
      <c r="N39" s="103">
        <v>857.15</v>
      </c>
      <c r="O39" s="103">
        <v>-0.04</v>
      </c>
      <c r="P39" s="156">
        <f t="shared" si="22"/>
        <v>805.09</v>
      </c>
      <c r="Q39" s="103">
        <f>SUM(N39:P39)+G39</f>
        <v>1662.2</v>
      </c>
      <c r="R39" s="171">
        <f t="shared" si="19"/>
        <v>5338.6</v>
      </c>
      <c r="S39" s="170">
        <v>433.09500000000003</v>
      </c>
      <c r="T39" s="128">
        <f t="shared" si="20"/>
        <v>1435.16</v>
      </c>
      <c r="U39" s="157">
        <f t="shared" si="21"/>
        <v>140.02000000000001</v>
      </c>
      <c r="V39" s="129">
        <f t="shared" si="23"/>
        <v>2008.2750000000001</v>
      </c>
      <c r="X39" s="169"/>
    </row>
    <row r="40" spans="2:24" ht="21" x14ac:dyDescent="0.35">
      <c r="B40" s="102" t="s">
        <v>76</v>
      </c>
      <c r="C40" s="125" t="s">
        <v>54</v>
      </c>
      <c r="D40" s="102" t="s">
        <v>126</v>
      </c>
      <c r="E40" s="103">
        <v>7000.8</v>
      </c>
      <c r="F40" s="126">
        <v>15</v>
      </c>
      <c r="G40" s="127">
        <v>1910</v>
      </c>
      <c r="H40" s="103"/>
      <c r="I40" s="144"/>
      <c r="J40" s="103"/>
      <c r="K40" s="103">
        <f t="shared" si="17"/>
        <v>7000.8</v>
      </c>
      <c r="L40" s="103">
        <v>0</v>
      </c>
      <c r="M40" s="103"/>
      <c r="N40" s="103">
        <v>857.15</v>
      </c>
      <c r="O40" s="103">
        <v>0.16</v>
      </c>
      <c r="P40" s="156">
        <f t="shared" si="22"/>
        <v>805.09</v>
      </c>
      <c r="Q40" s="103">
        <f t="shared" si="18"/>
        <v>3572.4</v>
      </c>
      <c r="R40" s="171">
        <f t="shared" si="19"/>
        <v>3428.4</v>
      </c>
      <c r="S40" s="170">
        <v>433.09500000000003</v>
      </c>
      <c r="T40" s="128">
        <f t="shared" si="20"/>
        <v>1435.16</v>
      </c>
      <c r="U40" s="157">
        <f t="shared" si="21"/>
        <v>140.02000000000001</v>
      </c>
      <c r="V40" s="129">
        <f t="shared" si="23"/>
        <v>2008.2750000000001</v>
      </c>
      <c r="X40" s="169"/>
    </row>
    <row r="41" spans="2:24" ht="21" x14ac:dyDescent="0.35">
      <c r="B41" s="158"/>
      <c r="C41" s="30" t="s">
        <v>170</v>
      </c>
      <c r="D41" s="102" t="s">
        <v>125</v>
      </c>
      <c r="E41" s="103">
        <v>7000.8</v>
      </c>
      <c r="F41" s="126">
        <v>15</v>
      </c>
      <c r="G41" s="141"/>
      <c r="H41" s="103"/>
      <c r="I41" s="144"/>
      <c r="J41" s="103"/>
      <c r="K41" s="103">
        <f t="shared" si="17"/>
        <v>7000.8</v>
      </c>
      <c r="L41" s="103">
        <v>0</v>
      </c>
      <c r="M41" s="103"/>
      <c r="N41" s="103">
        <v>857.15</v>
      </c>
      <c r="O41" s="103">
        <v>-0.15</v>
      </c>
      <c r="P41" s="141"/>
      <c r="Q41" s="103">
        <f t="shared" ref="Q41" si="24">SUM(N41:P41)+G41</f>
        <v>857</v>
      </c>
      <c r="R41" s="171">
        <f t="shared" si="19"/>
        <v>6143.8</v>
      </c>
      <c r="S41" s="170">
        <v>433.09500000000003</v>
      </c>
      <c r="T41" s="128"/>
      <c r="U41" s="157"/>
      <c r="V41" s="129">
        <f t="shared" ref="V41" si="25">SUM(S41:U41)</f>
        <v>433.09500000000003</v>
      </c>
      <c r="X41" s="169"/>
    </row>
    <row r="42" spans="2:24" ht="21" x14ac:dyDescent="0.35">
      <c r="B42" s="158" t="s">
        <v>150</v>
      </c>
      <c r="C42" s="30" t="s">
        <v>171</v>
      </c>
      <c r="D42" s="158" t="s">
        <v>109</v>
      </c>
      <c r="E42" s="103">
        <v>7000.8</v>
      </c>
      <c r="F42" s="126">
        <v>15</v>
      </c>
      <c r="G42" s="141"/>
      <c r="H42" s="103"/>
      <c r="I42" s="144"/>
      <c r="J42" s="103"/>
      <c r="K42" s="103">
        <f t="shared" si="17"/>
        <v>7000.8</v>
      </c>
      <c r="L42" s="103">
        <v>0</v>
      </c>
      <c r="M42" s="103"/>
      <c r="N42" s="103">
        <v>857.15</v>
      </c>
      <c r="O42" s="103">
        <v>-0.15</v>
      </c>
      <c r="P42" s="141"/>
      <c r="Q42" s="103">
        <f t="shared" ref="Q42:Q44" si="26">SUM(N42:P42)+G42</f>
        <v>857</v>
      </c>
      <c r="R42" s="171">
        <f t="shared" si="19"/>
        <v>6143.8</v>
      </c>
      <c r="S42" s="170">
        <v>433.09500000000003</v>
      </c>
      <c r="T42" s="128"/>
      <c r="U42" s="157"/>
      <c r="V42" s="129">
        <f t="shared" ref="V42:V44" si="27">SUM(S42:U42)</f>
        <v>433.09500000000003</v>
      </c>
      <c r="X42" s="169"/>
    </row>
    <row r="43" spans="2:24" ht="21" x14ac:dyDescent="0.35">
      <c r="B43" s="158" t="s">
        <v>151</v>
      </c>
      <c r="C43" s="30" t="s">
        <v>172</v>
      </c>
      <c r="D43" s="158" t="s">
        <v>109</v>
      </c>
      <c r="E43" s="103">
        <v>7000.8</v>
      </c>
      <c r="F43" s="126">
        <v>15</v>
      </c>
      <c r="G43" s="141"/>
      <c r="H43" s="103"/>
      <c r="I43" s="144"/>
      <c r="J43" s="103"/>
      <c r="K43" s="103">
        <f t="shared" si="17"/>
        <v>7000.8</v>
      </c>
      <c r="L43" s="103">
        <v>0</v>
      </c>
      <c r="M43" s="103"/>
      <c r="N43" s="103">
        <v>857.15</v>
      </c>
      <c r="O43" s="103">
        <v>-0.15</v>
      </c>
      <c r="P43" s="141"/>
      <c r="Q43" s="103">
        <f t="shared" si="26"/>
        <v>857</v>
      </c>
      <c r="R43" s="171">
        <f t="shared" si="19"/>
        <v>6143.8</v>
      </c>
      <c r="S43" s="170">
        <v>433.09500000000003</v>
      </c>
      <c r="T43" s="128"/>
      <c r="U43" s="157"/>
      <c r="V43" s="129">
        <f t="shared" si="27"/>
        <v>433.09500000000003</v>
      </c>
      <c r="X43" s="169"/>
    </row>
    <row r="44" spans="2:24" ht="21" x14ac:dyDescent="0.35">
      <c r="B44" s="158" t="s">
        <v>152</v>
      </c>
      <c r="C44" s="30" t="s">
        <v>173</v>
      </c>
      <c r="D44" s="158" t="s">
        <v>109</v>
      </c>
      <c r="E44" s="103">
        <v>7000.8</v>
      </c>
      <c r="F44" s="126">
        <v>15</v>
      </c>
      <c r="G44" s="141"/>
      <c r="H44" s="103"/>
      <c r="I44" s="144"/>
      <c r="J44" s="103"/>
      <c r="K44" s="103">
        <f t="shared" si="17"/>
        <v>7000.8</v>
      </c>
      <c r="L44" s="103">
        <v>0</v>
      </c>
      <c r="M44" s="103"/>
      <c r="N44" s="103">
        <v>857.15</v>
      </c>
      <c r="O44" s="103">
        <v>-0.15</v>
      </c>
      <c r="P44" s="141"/>
      <c r="Q44" s="103">
        <f t="shared" si="26"/>
        <v>857</v>
      </c>
      <c r="R44" s="171">
        <f t="shared" si="19"/>
        <v>6143.8</v>
      </c>
      <c r="S44" s="170">
        <v>433.09500000000003</v>
      </c>
      <c r="T44" s="128"/>
      <c r="U44" s="157"/>
      <c r="V44" s="129">
        <f t="shared" si="27"/>
        <v>433.09500000000003</v>
      </c>
      <c r="X44" s="169"/>
    </row>
    <row r="45" spans="2:24" ht="18.75" x14ac:dyDescent="0.3">
      <c r="B45" s="138" t="s">
        <v>20</v>
      </c>
      <c r="C45" s="132"/>
      <c r="D45" s="133"/>
      <c r="E45" s="197">
        <f>SUM(E30:E44)</f>
        <v>98454.200000000026</v>
      </c>
      <c r="F45" s="197">
        <f t="shared" ref="F45:V45" si="28">SUM(F30:F44)</f>
        <v>225</v>
      </c>
      <c r="G45" s="197">
        <f>SUM(G30:G44)</f>
        <v>3649.98</v>
      </c>
      <c r="H45" s="197">
        <f t="shared" si="28"/>
        <v>0</v>
      </c>
      <c r="I45" s="197">
        <f t="shared" si="28"/>
        <v>0</v>
      </c>
      <c r="J45" s="197">
        <f t="shared" si="28"/>
        <v>0</v>
      </c>
      <c r="K45" s="197">
        <f>SUM(K30:K44)</f>
        <v>98454.200000000026</v>
      </c>
      <c r="L45" s="197">
        <f t="shared" si="28"/>
        <v>0</v>
      </c>
      <c r="M45" s="197">
        <f t="shared" si="28"/>
        <v>0</v>
      </c>
      <c r="N45" s="197">
        <f t="shared" si="28"/>
        <v>12094.729999999998</v>
      </c>
      <c r="O45" s="197">
        <f t="shared" si="28"/>
        <v>-0.19999999999999998</v>
      </c>
      <c r="P45" s="197">
        <f t="shared" si="28"/>
        <v>8101.8500000000013</v>
      </c>
      <c r="Q45" s="197">
        <f t="shared" si="28"/>
        <v>23846.400000000001</v>
      </c>
      <c r="R45" s="135">
        <f t="shared" si="28"/>
        <v>74607.8</v>
      </c>
      <c r="S45" s="197">
        <f>SUM(S30:S44)</f>
        <v>6510.050000000002</v>
      </c>
      <c r="T45" s="197">
        <f t="shared" si="28"/>
        <v>14442.42</v>
      </c>
      <c r="U45" s="197">
        <f t="shared" si="28"/>
        <v>1409.06</v>
      </c>
      <c r="V45" s="197">
        <f t="shared" si="28"/>
        <v>22361.530000000006</v>
      </c>
      <c r="X45" s="169"/>
    </row>
    <row r="46" spans="2:24" ht="18.75" hidden="1" x14ac:dyDescent="0.3">
      <c r="C46" s="136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37"/>
      <c r="X46" s="169"/>
    </row>
    <row r="47" spans="2:24" ht="18.75" x14ac:dyDescent="0.3">
      <c r="B47" s="138" t="s">
        <v>78</v>
      </c>
      <c r="C47" s="31" t="s">
        <v>34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37"/>
      <c r="X47" s="169"/>
    </row>
    <row r="48" spans="2:24" ht="21" x14ac:dyDescent="0.35">
      <c r="B48" s="102" t="s">
        <v>69</v>
      </c>
      <c r="C48" s="125" t="s">
        <v>55</v>
      </c>
      <c r="D48" s="102" t="s">
        <v>130</v>
      </c>
      <c r="E48" s="103">
        <v>7443.8</v>
      </c>
      <c r="F48" s="126">
        <v>15</v>
      </c>
      <c r="G48" s="137"/>
      <c r="H48" s="103"/>
      <c r="I48" s="144"/>
      <c r="J48" s="141"/>
      <c r="K48" s="141">
        <f t="shared" ref="K48" si="29">E48-I48</f>
        <v>7443.8</v>
      </c>
      <c r="L48" s="141"/>
      <c r="M48" s="103"/>
      <c r="N48" s="103">
        <v>951.78</v>
      </c>
      <c r="O48" s="103">
        <v>0.18</v>
      </c>
      <c r="P48" s="156">
        <f t="shared" ref="P48:P50" si="30">ROUND(E48*0.115,2)</f>
        <v>856.04</v>
      </c>
      <c r="Q48" s="103">
        <f t="shared" ref="Q48" si="31">SUM(N48:P48)+G48</f>
        <v>1808</v>
      </c>
      <c r="R48" s="171">
        <f t="shared" ref="R48" si="32">K48-Q48</f>
        <v>5635.8</v>
      </c>
      <c r="S48" s="170">
        <v>446.71999999999991</v>
      </c>
      <c r="T48" s="128">
        <f t="shared" ref="T48:T50" si="33">ROUND(+E48*17.5%,2)+ROUND(E48*3%,2)</f>
        <v>1525.98</v>
      </c>
      <c r="U48" s="157">
        <f t="shared" ref="U48:U50" si="34">ROUND(+E48*2%,2)</f>
        <v>148.88</v>
      </c>
      <c r="V48" s="129">
        <f t="shared" ref="V48:V53" si="35">SUM(S48:U48)</f>
        <v>2121.58</v>
      </c>
      <c r="X48" s="169"/>
    </row>
    <row r="49" spans="2:24" ht="21" x14ac:dyDescent="0.35">
      <c r="B49" s="102" t="s">
        <v>81</v>
      </c>
      <c r="C49" s="125" t="s">
        <v>44</v>
      </c>
      <c r="D49" s="102" t="s">
        <v>128</v>
      </c>
      <c r="E49" s="103">
        <v>7000.8</v>
      </c>
      <c r="F49" s="126">
        <v>15</v>
      </c>
      <c r="G49" s="127">
        <v>1171.28</v>
      </c>
      <c r="H49" s="103"/>
      <c r="I49" s="144"/>
      <c r="J49" s="103"/>
      <c r="K49" s="103">
        <f>E49-I49</f>
        <v>7000.8</v>
      </c>
      <c r="L49" s="103"/>
      <c r="M49" s="103"/>
      <c r="N49" s="103">
        <v>857.15</v>
      </c>
      <c r="O49" s="103">
        <v>-0.12</v>
      </c>
      <c r="P49" s="156">
        <f t="shared" si="30"/>
        <v>805.09</v>
      </c>
      <c r="Q49" s="103">
        <f>SUM(N49:P49)+G49</f>
        <v>2833.3999999999996</v>
      </c>
      <c r="R49" s="171">
        <f>K49-Q49</f>
        <v>4167.4000000000005</v>
      </c>
      <c r="S49" s="170">
        <v>433.09500000000003</v>
      </c>
      <c r="T49" s="128">
        <f t="shared" si="33"/>
        <v>1435.16</v>
      </c>
      <c r="U49" s="157">
        <f t="shared" si="34"/>
        <v>140.02000000000001</v>
      </c>
      <c r="V49" s="129">
        <f t="shared" si="35"/>
        <v>2008.2750000000001</v>
      </c>
      <c r="X49" s="169"/>
    </row>
    <row r="50" spans="2:24" ht="21" x14ac:dyDescent="0.35">
      <c r="B50" s="102" t="s">
        <v>107</v>
      </c>
      <c r="C50" s="125" t="s">
        <v>108</v>
      </c>
      <c r="D50" s="102" t="s">
        <v>109</v>
      </c>
      <c r="E50" s="103">
        <v>7000.8</v>
      </c>
      <c r="F50" s="126">
        <v>15</v>
      </c>
      <c r="G50" s="103"/>
      <c r="H50" s="103"/>
      <c r="I50" s="103"/>
      <c r="J50" s="103"/>
      <c r="K50" s="103">
        <f>E50-I50</f>
        <v>7000.8</v>
      </c>
      <c r="L50" s="103"/>
      <c r="M50" s="103"/>
      <c r="N50" s="103">
        <v>857.15</v>
      </c>
      <c r="O50" s="103">
        <v>-0.04</v>
      </c>
      <c r="P50" s="156">
        <f t="shared" si="30"/>
        <v>805.09</v>
      </c>
      <c r="Q50" s="103">
        <f>SUM(N50:P50)+G50</f>
        <v>1662.2</v>
      </c>
      <c r="R50" s="171">
        <f>K50-Q50</f>
        <v>5338.6</v>
      </c>
      <c r="S50" s="170">
        <v>433.09500000000003</v>
      </c>
      <c r="T50" s="128">
        <f t="shared" si="33"/>
        <v>1435.16</v>
      </c>
      <c r="U50" s="157">
        <f t="shared" si="34"/>
        <v>140.02000000000001</v>
      </c>
      <c r="V50" s="129">
        <f t="shared" si="35"/>
        <v>2008.2750000000001</v>
      </c>
      <c r="X50" s="169"/>
    </row>
    <row r="51" spans="2:24" ht="31.5" x14ac:dyDescent="0.35">
      <c r="B51" s="158" t="s">
        <v>156</v>
      </c>
      <c r="C51" s="30" t="s">
        <v>167</v>
      </c>
      <c r="D51" s="198" t="s">
        <v>160</v>
      </c>
      <c r="E51" s="103">
        <v>6791.5</v>
      </c>
      <c r="F51" s="126">
        <v>14</v>
      </c>
      <c r="G51" s="141"/>
      <c r="H51" s="103"/>
      <c r="I51" s="144">
        <v>452.76</v>
      </c>
      <c r="J51" s="103"/>
      <c r="K51" s="103">
        <f t="shared" ref="K51:K53" si="36">E51-I51</f>
        <v>6338.74</v>
      </c>
      <c r="L51" s="103"/>
      <c r="M51" s="103"/>
      <c r="N51" s="103">
        <v>812.45</v>
      </c>
      <c r="O51" s="103">
        <v>-0.11</v>
      </c>
      <c r="P51" s="156"/>
      <c r="Q51" s="103">
        <f t="shared" ref="Q51:Q53" si="37">SUM(N51:P51)+G51</f>
        <v>812.34</v>
      </c>
      <c r="R51" s="171">
        <f t="shared" ref="R51:R52" si="38">K51-Q51</f>
        <v>5526.4</v>
      </c>
      <c r="S51" s="170">
        <v>426.65999999999997</v>
      </c>
      <c r="T51" s="128"/>
      <c r="U51" s="157"/>
      <c r="V51" s="129">
        <f t="shared" si="35"/>
        <v>426.65999999999997</v>
      </c>
      <c r="X51" s="169"/>
    </row>
    <row r="52" spans="2:24" ht="31.5" x14ac:dyDescent="0.35">
      <c r="B52" s="158" t="s">
        <v>157</v>
      </c>
      <c r="C52" s="30" t="s">
        <v>168</v>
      </c>
      <c r="D52" s="198" t="s">
        <v>160</v>
      </c>
      <c r="E52" s="103">
        <v>6791.5</v>
      </c>
      <c r="F52" s="126">
        <v>15</v>
      </c>
      <c r="G52" s="141"/>
      <c r="H52" s="103"/>
      <c r="I52" s="144"/>
      <c r="J52" s="103"/>
      <c r="K52" s="103">
        <f t="shared" si="36"/>
        <v>6791.5</v>
      </c>
      <c r="L52" s="103"/>
      <c r="M52" s="103"/>
      <c r="N52" s="103">
        <v>812.45</v>
      </c>
      <c r="O52" s="103">
        <v>0.05</v>
      </c>
      <c r="P52" s="156"/>
      <c r="Q52" s="103">
        <f t="shared" si="37"/>
        <v>812.5</v>
      </c>
      <c r="R52" s="171">
        <f t="shared" si="38"/>
        <v>5979</v>
      </c>
      <c r="S52" s="170">
        <v>426.65999999999997</v>
      </c>
      <c r="T52" s="128"/>
      <c r="U52" s="157"/>
      <c r="V52" s="129">
        <f t="shared" si="35"/>
        <v>426.65999999999997</v>
      </c>
      <c r="X52" s="169"/>
    </row>
    <row r="53" spans="2:24" ht="31.5" x14ac:dyDescent="0.35">
      <c r="B53" s="158" t="s">
        <v>158</v>
      </c>
      <c r="C53" s="30" t="s">
        <v>169</v>
      </c>
      <c r="D53" s="198" t="s">
        <v>160</v>
      </c>
      <c r="E53" s="103">
        <v>6791.5</v>
      </c>
      <c r="F53" s="126">
        <v>15</v>
      </c>
      <c r="G53" s="103"/>
      <c r="H53" s="103"/>
      <c r="I53" s="103"/>
      <c r="J53" s="103"/>
      <c r="K53" s="103">
        <f t="shared" si="36"/>
        <v>6791.5</v>
      </c>
      <c r="L53" s="103"/>
      <c r="M53" s="103"/>
      <c r="N53" s="103">
        <v>812.45</v>
      </c>
      <c r="O53" s="103">
        <v>0.05</v>
      </c>
      <c r="P53" s="156"/>
      <c r="Q53" s="103">
        <f t="shared" si="37"/>
        <v>812.5</v>
      </c>
      <c r="R53" s="171">
        <f>K53-Q53</f>
        <v>5979</v>
      </c>
      <c r="S53" s="170">
        <v>426.65999999999997</v>
      </c>
      <c r="T53" s="128"/>
      <c r="U53" s="157"/>
      <c r="V53" s="129">
        <f t="shared" si="35"/>
        <v>426.65999999999997</v>
      </c>
      <c r="X53" s="169"/>
    </row>
    <row r="54" spans="2:24" x14ac:dyDescent="0.25">
      <c r="B54" s="138" t="s">
        <v>20</v>
      </c>
      <c r="C54" s="132"/>
      <c r="D54" s="133"/>
      <c r="E54" s="134">
        <f>SUM(E48:E53)</f>
        <v>41819.9</v>
      </c>
      <c r="F54" s="134"/>
      <c r="G54" s="134">
        <f>SUM(G48:G53)</f>
        <v>1171.28</v>
      </c>
      <c r="H54" s="134">
        <f t="shared" ref="H54:V54" si="39">SUM(H48:H53)</f>
        <v>0</v>
      </c>
      <c r="I54" s="134">
        <f t="shared" si="39"/>
        <v>452.76</v>
      </c>
      <c r="J54" s="134">
        <f t="shared" si="39"/>
        <v>0</v>
      </c>
      <c r="K54" s="134">
        <f>SUM(K48:K53)</f>
        <v>41367.14</v>
      </c>
      <c r="L54" s="134">
        <f t="shared" si="39"/>
        <v>0</v>
      </c>
      <c r="M54" s="134">
        <f>SUM(M48:M53)</f>
        <v>0</v>
      </c>
      <c r="N54" s="134">
        <f>SUM(N48:N53)</f>
        <v>5103.4299999999994</v>
      </c>
      <c r="O54" s="134">
        <f t="shared" si="39"/>
        <v>1.0000000000000009E-2</v>
      </c>
      <c r="P54" s="134">
        <f t="shared" si="39"/>
        <v>2466.2200000000003</v>
      </c>
      <c r="Q54" s="134">
        <f t="shared" si="39"/>
        <v>8740.9399999999987</v>
      </c>
      <c r="R54" s="134">
        <f t="shared" si="39"/>
        <v>32626.2</v>
      </c>
      <c r="S54" s="134">
        <f>SUM(S48:S53)</f>
        <v>2592.8899999999994</v>
      </c>
      <c r="T54" s="134">
        <f t="shared" si="39"/>
        <v>4396.3</v>
      </c>
      <c r="U54" s="134">
        <f t="shared" si="39"/>
        <v>428.91999999999996</v>
      </c>
      <c r="V54" s="134">
        <f t="shared" si="39"/>
        <v>7418.1099999999988</v>
      </c>
      <c r="X54" s="169"/>
    </row>
    <row r="55" spans="2:24" ht="18.75" hidden="1" x14ac:dyDescent="0.3">
      <c r="B55" s="138"/>
      <c r="C55" s="136"/>
      <c r="E55" s="103"/>
      <c r="F55" s="103"/>
      <c r="G55" s="103"/>
      <c r="H55" s="103"/>
      <c r="I55" s="103"/>
      <c r="J55" s="103"/>
      <c r="K55" s="146"/>
      <c r="L55" s="146"/>
      <c r="M55" s="146"/>
      <c r="N55" s="146"/>
      <c r="O55" s="146"/>
      <c r="P55" s="146"/>
      <c r="Q55" s="146"/>
      <c r="R55" s="147"/>
      <c r="S55" s="148"/>
      <c r="T55" s="148"/>
      <c r="U55" s="148"/>
      <c r="V55" s="148"/>
      <c r="X55" s="169"/>
    </row>
    <row r="56" spans="2:24" ht="18.75" x14ac:dyDescent="0.3">
      <c r="B56" s="138" t="s">
        <v>84</v>
      </c>
      <c r="C56" s="31" t="s">
        <v>85</v>
      </c>
      <c r="E56" s="103"/>
      <c r="F56" s="103"/>
      <c r="G56" s="103"/>
      <c r="H56" s="103"/>
      <c r="I56" s="103"/>
      <c r="J56" s="103"/>
      <c r="K56" s="146"/>
      <c r="L56" s="146"/>
      <c r="M56" s="146"/>
      <c r="N56" s="146"/>
      <c r="O56" s="146"/>
      <c r="P56" s="146"/>
      <c r="Q56" s="146"/>
      <c r="R56" s="147"/>
      <c r="S56" s="148"/>
      <c r="T56" s="148"/>
      <c r="U56" s="148"/>
      <c r="V56" s="148"/>
      <c r="X56" s="169"/>
    </row>
    <row r="57" spans="2:24" ht="21" x14ac:dyDescent="0.35">
      <c r="B57" s="102" t="s">
        <v>86</v>
      </c>
      <c r="C57" s="125" t="s">
        <v>30</v>
      </c>
      <c r="D57" s="102" t="s">
        <v>114</v>
      </c>
      <c r="E57" s="103">
        <v>13000</v>
      </c>
      <c r="F57" s="126">
        <v>15</v>
      </c>
      <c r="G57" s="127">
        <v>6308.28</v>
      </c>
      <c r="H57" s="103"/>
      <c r="I57" s="103"/>
      <c r="J57" s="103"/>
      <c r="K57" s="103">
        <f>E57-I57</f>
        <v>13000</v>
      </c>
      <c r="L57" s="103">
        <v>0</v>
      </c>
      <c r="M57" s="103"/>
      <c r="N57" s="103">
        <v>2161.23</v>
      </c>
      <c r="O57" s="103">
        <v>0.09</v>
      </c>
      <c r="P57" s="156">
        <f>ROUND(E57*0.115,2)</f>
        <v>1495</v>
      </c>
      <c r="Q57" s="103">
        <f>SUM(N57:P57)+G57</f>
        <v>9964.6</v>
      </c>
      <c r="R57" s="171">
        <f>K57-Q57</f>
        <v>3035.3999999999996</v>
      </c>
      <c r="S57" s="29">
        <v>617.63</v>
      </c>
      <c r="T57" s="128">
        <f t="shared" ref="T57" si="40">ROUND(+E57*17.5%,2)+ROUND(E57*3%,2)</f>
        <v>2665</v>
      </c>
      <c r="U57" s="157">
        <f>ROUND(+E57*2%,2)</f>
        <v>260</v>
      </c>
      <c r="V57" s="129">
        <f t="shared" ref="V57" si="41">SUM(S57:U57)</f>
        <v>3542.63</v>
      </c>
      <c r="X57" s="169"/>
    </row>
    <row r="58" spans="2:24" ht="18.75" x14ac:dyDescent="0.3">
      <c r="B58" s="138" t="s">
        <v>20</v>
      </c>
      <c r="E58" s="134">
        <f>E57</f>
        <v>13000</v>
      </c>
      <c r="F58" s="134"/>
      <c r="G58" s="134">
        <f>+G57</f>
        <v>6308.28</v>
      </c>
      <c r="H58" s="134"/>
      <c r="I58" s="134">
        <f>I57</f>
        <v>0</v>
      </c>
      <c r="J58" s="134">
        <f>J57</f>
        <v>0</v>
      </c>
      <c r="K58" s="134">
        <f>K57</f>
        <v>13000</v>
      </c>
      <c r="L58" s="134">
        <f t="shared" ref="L58:V58" si="42">L57</f>
        <v>0</v>
      </c>
      <c r="M58" s="134">
        <f t="shared" si="42"/>
        <v>0</v>
      </c>
      <c r="N58" s="134">
        <f>N57</f>
        <v>2161.23</v>
      </c>
      <c r="O58" s="134">
        <f t="shared" si="42"/>
        <v>0.09</v>
      </c>
      <c r="P58" s="134">
        <f>P57</f>
        <v>1495</v>
      </c>
      <c r="Q58" s="134">
        <f t="shared" si="42"/>
        <v>9964.6</v>
      </c>
      <c r="R58" s="135">
        <f>R57</f>
        <v>3035.3999999999996</v>
      </c>
      <c r="S58" s="134">
        <f>S57</f>
        <v>617.63</v>
      </c>
      <c r="T58" s="134">
        <f t="shared" si="42"/>
        <v>2665</v>
      </c>
      <c r="U58" s="134">
        <f>U57</f>
        <v>260</v>
      </c>
      <c r="V58" s="134">
        <f t="shared" si="42"/>
        <v>3542.63</v>
      </c>
      <c r="X58" s="169"/>
    </row>
    <row r="59" spans="2:24" ht="12" customHeight="1" x14ac:dyDescent="0.3">
      <c r="B59" s="138"/>
      <c r="E59" s="103"/>
      <c r="F59" s="103"/>
      <c r="G59" s="103"/>
      <c r="H59" s="103"/>
      <c r="I59" s="103"/>
      <c r="J59" s="103"/>
      <c r="K59" s="146"/>
      <c r="L59" s="146"/>
      <c r="M59" s="146"/>
      <c r="N59" s="146"/>
      <c r="O59" s="146"/>
      <c r="P59" s="146"/>
      <c r="Q59" s="146"/>
      <c r="R59" s="147"/>
      <c r="S59" s="148"/>
      <c r="T59" s="148"/>
      <c r="U59" s="148"/>
      <c r="V59" s="148"/>
    </row>
    <row r="60" spans="2:24" ht="18.75" hidden="1" x14ac:dyDescent="0.3">
      <c r="R60" s="149"/>
    </row>
    <row r="61" spans="2:24" ht="18.75" x14ac:dyDescent="0.3">
      <c r="C61" s="150" t="s">
        <v>56</v>
      </c>
      <c r="E61" s="151">
        <f>E9+E20+E27+E45+E54+E58</f>
        <v>260544.66</v>
      </c>
      <c r="F61" s="151"/>
      <c r="G61" s="152">
        <f>G9+G20+G27+G45+G54+G58</f>
        <v>26082.12</v>
      </c>
      <c r="H61" s="151"/>
      <c r="I61" s="151">
        <f t="shared" ref="I61:V61" si="43">I9+I20+I27+I45+I54+I58</f>
        <v>452.76</v>
      </c>
      <c r="J61" s="151">
        <f t="shared" si="43"/>
        <v>0</v>
      </c>
      <c r="K61" s="151">
        <f>K9+K20+K27+K45+K54+K58</f>
        <v>260091.90000000002</v>
      </c>
      <c r="L61" s="151">
        <f t="shared" si="43"/>
        <v>0</v>
      </c>
      <c r="M61" s="151">
        <f t="shared" si="43"/>
        <v>0</v>
      </c>
      <c r="N61" s="151">
        <f t="shared" si="43"/>
        <v>33733.659999999996</v>
      </c>
      <c r="O61" s="151">
        <f t="shared" si="43"/>
        <v>-0.27</v>
      </c>
      <c r="P61" s="152">
        <f>P9+P20+P27+P45+P54+P58</f>
        <v>24399.170000000002</v>
      </c>
      <c r="Q61" s="151">
        <f t="shared" si="43"/>
        <v>84214.720000000016</v>
      </c>
      <c r="R61" s="153">
        <f t="shared" si="43"/>
        <v>175877.18000000002</v>
      </c>
      <c r="S61" s="151">
        <f>S9+S20+S27+S45+S54+S58</f>
        <v>16081.01</v>
      </c>
      <c r="T61" s="151">
        <f>T58+T54+T45+T27+T20+T9</f>
        <v>43494.152475000003</v>
      </c>
      <c r="U61" s="152">
        <f>U9+U20+U27+U45+U54+U58</f>
        <v>4243.43</v>
      </c>
      <c r="V61" s="154">
        <f t="shared" si="43"/>
        <v>63818.592475000005</v>
      </c>
    </row>
    <row r="62" spans="2:24" ht="18.75" x14ac:dyDescent="0.3">
      <c r="S62" s="151"/>
      <c r="T62" s="151"/>
    </row>
    <row r="63" spans="2:24" x14ac:dyDescent="0.25">
      <c r="T63" s="103"/>
      <c r="X63" s="169"/>
    </row>
    <row r="65" spans="3:20" x14ac:dyDescent="0.25">
      <c r="I65" s="169"/>
    </row>
    <row r="70" spans="3:20" ht="16.5" thickBot="1" x14ac:dyDescent="0.3">
      <c r="E70" s="293"/>
      <c r="F70" s="293"/>
      <c r="G70" s="199"/>
      <c r="H70" s="199"/>
      <c r="P70" s="294"/>
      <c r="Q70" s="294"/>
    </row>
    <row r="71" spans="3:20" ht="15" x14ac:dyDescent="0.25">
      <c r="E71" s="295" t="s">
        <v>91</v>
      </c>
      <c r="F71" s="295"/>
      <c r="G71" s="200"/>
      <c r="H71" s="200"/>
      <c r="P71" s="155"/>
      <c r="Q71" s="155"/>
      <c r="R71" s="296" t="s">
        <v>82</v>
      </c>
      <c r="S71" s="296"/>
      <c r="T71" s="199"/>
    </row>
    <row r="75" spans="3:20" x14ac:dyDescent="0.25">
      <c r="C75" s="102" t="s">
        <v>90</v>
      </c>
    </row>
  </sheetData>
  <mergeCells count="5">
    <mergeCell ref="B4:V4"/>
    <mergeCell ref="E70:F70"/>
    <mergeCell ref="P70:Q70"/>
    <mergeCell ref="E71:F71"/>
    <mergeCell ref="R71:S71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D1710-1345-49A0-9376-B92ED34E9B6D}">
  <sheetPr>
    <pageSetUpPr fitToPage="1"/>
  </sheetPr>
  <dimension ref="B3:X75"/>
  <sheetViews>
    <sheetView topLeftCell="A38" zoomScale="85" zoomScaleNormal="85" workbookViewId="0">
      <selection activeCell="R5" sqref="R5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5.85546875" style="102" bestFit="1" customWidth="1"/>
    <col min="8" max="8" width="14.140625" style="102" hidden="1" customWidth="1"/>
    <col min="9" max="9" width="13.28515625" style="102" customWidth="1"/>
    <col min="10" max="10" width="13.28515625" style="102" hidden="1" customWidth="1"/>
    <col min="11" max="11" width="15.85546875" style="102" bestFit="1" customWidth="1"/>
    <col min="12" max="12" width="9.42578125" style="102" hidden="1" customWidth="1"/>
    <col min="13" max="13" width="14.42578125" style="102" hidden="1" customWidth="1"/>
    <col min="14" max="14" width="15.85546875" style="102" bestFit="1" customWidth="1"/>
    <col min="15" max="15" width="11.140625" style="102" bestFit="1" customWidth="1"/>
    <col min="16" max="16" width="14.42578125" style="102" bestFit="1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4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4" ht="16.5" customHeight="1" x14ac:dyDescent="0.25">
      <c r="B4" s="291" t="s">
        <v>175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4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2" t="s">
        <v>148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4" x14ac:dyDescent="0.25">
      <c r="B6" s="121" t="s">
        <v>13</v>
      </c>
      <c r="C6" s="5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4" ht="21" x14ac:dyDescent="0.35">
      <c r="B7" s="102" t="s">
        <v>15</v>
      </c>
      <c r="C7" s="125" t="s">
        <v>16</v>
      </c>
      <c r="D7" s="102" t="s">
        <v>19</v>
      </c>
      <c r="E7" s="103">
        <v>19461.365000000002</v>
      </c>
      <c r="F7" s="126">
        <v>15</v>
      </c>
      <c r="G7" s="141"/>
      <c r="H7" s="103"/>
      <c r="I7" s="103"/>
      <c r="J7" s="103"/>
      <c r="K7" s="103">
        <f>E7-I7</f>
        <v>19461.365000000002</v>
      </c>
      <c r="L7" s="103">
        <v>0</v>
      </c>
      <c r="M7" s="103"/>
      <c r="N7" s="103">
        <v>3721.35</v>
      </c>
      <c r="O7" s="103">
        <v>0.16</v>
      </c>
      <c r="P7" s="156">
        <f>ROUND(E7*0.115,2)</f>
        <v>2238.06</v>
      </c>
      <c r="Q7" s="103">
        <f>SUM(N7:P7)+G7</f>
        <v>5959.57</v>
      </c>
      <c r="R7" s="171">
        <f>K7-Q7</f>
        <v>13501.795000000002</v>
      </c>
      <c r="S7" s="29">
        <v>816.3599999999999</v>
      </c>
      <c r="T7" s="128">
        <f>+E7*17.5%+E7*3%</f>
        <v>3989.5798249999998</v>
      </c>
      <c r="U7" s="157">
        <f>ROUND(+E7*2%,2)</f>
        <v>389.23</v>
      </c>
      <c r="V7" s="129">
        <f>SUM(S7:U7)</f>
        <v>5195.169824999999</v>
      </c>
      <c r="X7" s="169"/>
    </row>
    <row r="8" spans="2:24" ht="21" x14ac:dyDescent="0.35">
      <c r="B8" s="102" t="s">
        <v>17</v>
      </c>
      <c r="C8" s="125" t="s">
        <v>18</v>
      </c>
      <c r="D8" s="102" t="s">
        <v>2</v>
      </c>
      <c r="E8" s="103">
        <v>6247.33</v>
      </c>
      <c r="F8" s="126">
        <v>15</v>
      </c>
      <c r="G8" s="127">
        <v>1000</v>
      </c>
      <c r="H8" s="103"/>
      <c r="I8" s="130"/>
      <c r="J8" s="103"/>
      <c r="K8" s="103">
        <f>E8-I8</f>
        <v>6247.33</v>
      </c>
      <c r="L8" s="103">
        <v>0</v>
      </c>
      <c r="M8" s="103"/>
      <c r="N8" s="103">
        <v>696.21</v>
      </c>
      <c r="O8" s="103">
        <v>0.08</v>
      </c>
      <c r="P8" s="156">
        <f>ROUND(E8*0.115,2)</f>
        <v>718.44</v>
      </c>
      <c r="Q8" s="103">
        <f>SUM(N8:P8)+G8</f>
        <v>2414.73</v>
      </c>
      <c r="R8" s="171">
        <f>K8-Q8</f>
        <v>3832.6</v>
      </c>
      <c r="S8" s="29">
        <v>409.92</v>
      </c>
      <c r="T8" s="128">
        <f>+E8*17.5%+E8*3%</f>
        <v>1280.7026499999997</v>
      </c>
      <c r="U8" s="157">
        <f>ROUND(+E8*2%,2)</f>
        <v>124.95</v>
      </c>
      <c r="V8" s="129">
        <f>SUM(S8:U8)</f>
        <v>1815.5726499999998</v>
      </c>
      <c r="X8" s="169"/>
    </row>
    <row r="9" spans="2:24" ht="18.75" x14ac:dyDescent="0.3">
      <c r="B9" s="131" t="s">
        <v>20</v>
      </c>
      <c r="C9" s="132"/>
      <c r="D9" s="133"/>
      <c r="E9" s="135">
        <f>SUM(E7:E8)</f>
        <v>25708.695</v>
      </c>
      <c r="F9" s="135"/>
      <c r="G9" s="135">
        <f>+G8+G7</f>
        <v>1000</v>
      </c>
      <c r="H9" s="135"/>
      <c r="I9" s="135">
        <f t="shared" ref="I9:V9" si="0">SUM(I7:I8)</f>
        <v>0</v>
      </c>
      <c r="J9" s="135">
        <f t="shared" si="0"/>
        <v>0</v>
      </c>
      <c r="K9" s="135">
        <f>SUM(K7:K8)</f>
        <v>25708.695</v>
      </c>
      <c r="L9" s="135">
        <f t="shared" si="0"/>
        <v>0</v>
      </c>
      <c r="M9" s="135">
        <f>SUM(M7:M8)</f>
        <v>0</v>
      </c>
      <c r="N9" s="135">
        <f>SUM(N7:N8)</f>
        <v>4417.5599999999995</v>
      </c>
      <c r="O9" s="135">
        <f t="shared" si="0"/>
        <v>0.24</v>
      </c>
      <c r="P9" s="135">
        <f>SUM(P7:P8)</f>
        <v>2956.5</v>
      </c>
      <c r="Q9" s="135">
        <f t="shared" si="0"/>
        <v>8374.2999999999993</v>
      </c>
      <c r="R9" s="135">
        <f>SUM(R7:R8)</f>
        <v>17334.395</v>
      </c>
      <c r="S9" s="135">
        <f>SUM(S7:S8)</f>
        <v>1226.28</v>
      </c>
      <c r="T9" s="135">
        <f t="shared" si="0"/>
        <v>5270.282475</v>
      </c>
      <c r="U9" s="135">
        <f>SUM(U7:U8)</f>
        <v>514.18000000000006</v>
      </c>
      <c r="V9" s="135">
        <f t="shared" si="0"/>
        <v>7010.7424749999991</v>
      </c>
      <c r="X9" s="169"/>
    </row>
    <row r="10" spans="2:24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4" ht="18.75" x14ac:dyDescent="0.3">
      <c r="B11" s="138" t="s">
        <v>21</v>
      </c>
      <c r="C11" s="31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4" ht="21" x14ac:dyDescent="0.35">
      <c r="B12" s="102" t="s">
        <v>23</v>
      </c>
      <c r="C12" s="125" t="s">
        <v>28</v>
      </c>
      <c r="D12" s="102" t="s">
        <v>114</v>
      </c>
      <c r="E12" s="103">
        <v>13000</v>
      </c>
      <c r="F12" s="126">
        <v>15</v>
      </c>
      <c r="G12" s="127">
        <v>3394</v>
      </c>
      <c r="H12" s="103"/>
      <c r="I12" s="103"/>
      <c r="J12" s="103"/>
      <c r="K12" s="103">
        <f t="shared" ref="K12:K18" si="1">E12-I12</f>
        <v>13000</v>
      </c>
      <c r="L12" s="103">
        <v>0</v>
      </c>
      <c r="M12" s="103"/>
      <c r="N12" s="103">
        <v>2161.23</v>
      </c>
      <c r="O12" s="103">
        <v>-0.03</v>
      </c>
      <c r="P12" s="156">
        <f t="shared" ref="P12:P19" si="2">ROUND(E12*0.115,2)</f>
        <v>1495</v>
      </c>
      <c r="Q12" s="103">
        <f t="shared" ref="Q12:Q19" si="3">SUM(N12:P12)+G12</f>
        <v>7050.2</v>
      </c>
      <c r="R12" s="171">
        <f t="shared" ref="R12:R19" si="4">K12-Q12</f>
        <v>5949.8</v>
      </c>
      <c r="S12" s="29">
        <v>617.625</v>
      </c>
      <c r="T12" s="128">
        <f>ROUND(+E12*17.5%,2)+ROUND(E12*3%,2)</f>
        <v>2665</v>
      </c>
      <c r="U12" s="157">
        <f t="shared" ref="U12:U19" si="5">ROUND(+E12*2%,2)</f>
        <v>260</v>
      </c>
      <c r="V12" s="129">
        <f t="shared" ref="V12:V19" si="6">SUM(S12:U12)</f>
        <v>3542.625</v>
      </c>
      <c r="X12" s="169"/>
    </row>
    <row r="13" spans="2:24" ht="21" x14ac:dyDescent="0.35">
      <c r="B13" s="102" t="s">
        <v>24</v>
      </c>
      <c r="C13" s="125" t="s">
        <v>29</v>
      </c>
      <c r="D13" s="102" t="s">
        <v>116</v>
      </c>
      <c r="E13" s="103">
        <v>7000.8</v>
      </c>
      <c r="F13" s="126">
        <v>15</v>
      </c>
      <c r="G13" s="127">
        <v>2129.5700000000002</v>
      </c>
      <c r="H13" s="103"/>
      <c r="I13" s="139"/>
      <c r="J13" s="140"/>
      <c r="K13" s="103">
        <f>E13-I13</f>
        <v>7000.8</v>
      </c>
      <c r="L13" s="103">
        <v>0</v>
      </c>
      <c r="M13" s="103"/>
      <c r="N13" s="103">
        <v>857.15</v>
      </c>
      <c r="O13" s="103">
        <v>-0.01</v>
      </c>
      <c r="P13" s="156">
        <f t="shared" si="2"/>
        <v>805.09</v>
      </c>
      <c r="Q13" s="103">
        <f t="shared" si="3"/>
        <v>3791.8</v>
      </c>
      <c r="R13" s="171">
        <f t="shared" si="4"/>
        <v>3209</v>
      </c>
      <c r="S13" s="29">
        <v>433.09500000000003</v>
      </c>
      <c r="T13" s="128">
        <f t="shared" ref="T13:T19" si="7">ROUND(+E13*17.5%,2)+ROUND(E13*3%,2)</f>
        <v>1435.16</v>
      </c>
      <c r="U13" s="157">
        <f t="shared" si="5"/>
        <v>140.02000000000001</v>
      </c>
      <c r="V13" s="129">
        <f t="shared" si="6"/>
        <v>2008.2750000000001</v>
      </c>
      <c r="X13" s="169"/>
    </row>
    <row r="14" spans="2:24" ht="21" x14ac:dyDescent="0.35">
      <c r="B14" s="102" t="s">
        <v>25</v>
      </c>
      <c r="C14" s="30" t="s">
        <v>174</v>
      </c>
      <c r="D14" s="102" t="s">
        <v>115</v>
      </c>
      <c r="E14" s="103">
        <v>7000.8</v>
      </c>
      <c r="F14" s="126">
        <v>15</v>
      </c>
      <c r="G14" s="127">
        <v>1330.99</v>
      </c>
      <c r="H14" s="141"/>
      <c r="I14" s="139"/>
      <c r="J14" s="140"/>
      <c r="K14" s="103">
        <f>E14-I14</f>
        <v>7000.8</v>
      </c>
      <c r="L14" s="103">
        <v>0</v>
      </c>
      <c r="M14" s="103"/>
      <c r="N14" s="103">
        <v>857.15</v>
      </c>
      <c r="O14" s="103">
        <v>-0.03</v>
      </c>
      <c r="P14" s="156">
        <f>ROUND(E14*0.115,2)</f>
        <v>805.09</v>
      </c>
      <c r="Q14" s="103">
        <f>SUM(N14:P14)+G14</f>
        <v>2993.2</v>
      </c>
      <c r="R14" s="171">
        <f>K14-Q14</f>
        <v>4007.6000000000004</v>
      </c>
      <c r="S14" s="29">
        <v>433.09500000000003</v>
      </c>
      <c r="T14" s="128">
        <f t="shared" si="7"/>
        <v>1435.16</v>
      </c>
      <c r="U14" s="157">
        <f t="shared" si="5"/>
        <v>140.02000000000001</v>
      </c>
      <c r="V14" s="129">
        <f t="shared" si="6"/>
        <v>2008.2750000000001</v>
      </c>
      <c r="X14" s="169"/>
    </row>
    <row r="15" spans="2:24" ht="21" x14ac:dyDescent="0.35">
      <c r="B15" s="102" t="s">
        <v>26</v>
      </c>
      <c r="C15" s="125" t="s">
        <v>58</v>
      </c>
      <c r="D15" s="102" t="s">
        <v>37</v>
      </c>
      <c r="E15" s="103">
        <v>7443.8</v>
      </c>
      <c r="F15" s="126">
        <v>15</v>
      </c>
      <c r="G15" s="103"/>
      <c r="H15" s="103"/>
      <c r="I15" s="139"/>
      <c r="J15" s="103"/>
      <c r="K15" s="103">
        <f t="shared" si="1"/>
        <v>7443.8</v>
      </c>
      <c r="L15" s="103">
        <v>0</v>
      </c>
      <c r="M15" s="103"/>
      <c r="N15" s="103">
        <v>951.78</v>
      </c>
      <c r="O15" s="103">
        <v>-0.02</v>
      </c>
      <c r="P15" s="156">
        <f t="shared" si="2"/>
        <v>856.04</v>
      </c>
      <c r="Q15" s="103">
        <f t="shared" si="3"/>
        <v>1807.8</v>
      </c>
      <c r="R15" s="171">
        <f t="shared" si="4"/>
        <v>5636</v>
      </c>
      <c r="S15" s="29">
        <v>446.71999999999991</v>
      </c>
      <c r="T15" s="128">
        <f t="shared" si="7"/>
        <v>1525.98</v>
      </c>
      <c r="U15" s="157">
        <f t="shared" si="5"/>
        <v>148.88</v>
      </c>
      <c r="V15" s="129">
        <f t="shared" si="6"/>
        <v>2121.58</v>
      </c>
      <c r="X15" s="169"/>
    </row>
    <row r="16" spans="2:24" ht="21" x14ac:dyDescent="0.35">
      <c r="B16" s="102" t="s">
        <v>27</v>
      </c>
      <c r="C16" s="125" t="s">
        <v>40</v>
      </c>
      <c r="D16" s="102" t="s">
        <v>117</v>
      </c>
      <c r="E16" s="103">
        <v>4918.3649999999998</v>
      </c>
      <c r="F16" s="126">
        <v>15</v>
      </c>
      <c r="G16" s="127">
        <v>2050</v>
      </c>
      <c r="H16" s="103"/>
      <c r="I16" s="139"/>
      <c r="J16" s="103"/>
      <c r="K16" s="103">
        <f>E16-I16</f>
        <v>4918.3649999999998</v>
      </c>
      <c r="L16" s="103">
        <v>0</v>
      </c>
      <c r="M16" s="103"/>
      <c r="N16" s="103">
        <v>447.61</v>
      </c>
      <c r="O16" s="103">
        <v>-0.05</v>
      </c>
      <c r="P16" s="156">
        <f>ROUND(E16*0.115,2)</f>
        <v>565.61</v>
      </c>
      <c r="Q16" s="103">
        <f>SUM(N16:P16)+G16</f>
        <v>3063.17</v>
      </c>
      <c r="R16" s="171">
        <f t="shared" si="4"/>
        <v>1855.1949999999997</v>
      </c>
      <c r="S16" s="29">
        <v>373.15</v>
      </c>
      <c r="T16" s="128">
        <f t="shared" si="7"/>
        <v>1008.26</v>
      </c>
      <c r="U16" s="157">
        <f t="shared" si="5"/>
        <v>98.37</v>
      </c>
      <c r="V16" s="129">
        <f t="shared" si="6"/>
        <v>1479.7799999999997</v>
      </c>
      <c r="X16" s="169"/>
    </row>
    <row r="17" spans="2:24" ht="21" x14ac:dyDescent="0.35">
      <c r="B17" s="102" t="s">
        <v>60</v>
      </c>
      <c r="C17" s="125" t="s">
        <v>41</v>
      </c>
      <c r="D17" s="102" t="s">
        <v>118</v>
      </c>
      <c r="E17" s="103">
        <v>4918.3649999999998</v>
      </c>
      <c r="F17" s="126">
        <v>15</v>
      </c>
      <c r="G17" s="127">
        <v>1676.62</v>
      </c>
      <c r="H17" s="103"/>
      <c r="I17" s="139"/>
      <c r="J17" s="103"/>
      <c r="K17" s="103">
        <f>E17-I17</f>
        <v>4918.3649999999998</v>
      </c>
      <c r="L17" s="103">
        <v>0</v>
      </c>
      <c r="M17" s="103"/>
      <c r="N17" s="103">
        <v>447.61</v>
      </c>
      <c r="O17" s="103">
        <v>-7.0000000000000007E-2</v>
      </c>
      <c r="P17" s="156">
        <f t="shared" si="2"/>
        <v>565.61</v>
      </c>
      <c r="Q17" s="103">
        <f>SUM(N17:P17)+G17</f>
        <v>2689.77</v>
      </c>
      <c r="R17" s="171">
        <f>K17-Q17</f>
        <v>2228.5949999999998</v>
      </c>
      <c r="S17" s="29">
        <v>373.15</v>
      </c>
      <c r="T17" s="128">
        <f t="shared" si="7"/>
        <v>1008.26</v>
      </c>
      <c r="U17" s="157">
        <f t="shared" si="5"/>
        <v>98.37</v>
      </c>
      <c r="V17" s="129">
        <f t="shared" si="6"/>
        <v>1479.7799999999997</v>
      </c>
      <c r="X17" s="169"/>
    </row>
    <row r="18" spans="2:24" ht="21" x14ac:dyDescent="0.35">
      <c r="B18" s="102" t="s">
        <v>61</v>
      </c>
      <c r="C18" s="125" t="s">
        <v>43</v>
      </c>
      <c r="D18" s="102" t="s">
        <v>3</v>
      </c>
      <c r="E18" s="103">
        <v>4358.17</v>
      </c>
      <c r="F18" s="126">
        <v>15</v>
      </c>
      <c r="G18" s="127">
        <v>1211</v>
      </c>
      <c r="H18" s="103"/>
      <c r="I18" s="103"/>
      <c r="J18" s="103"/>
      <c r="K18" s="103">
        <f t="shared" si="1"/>
        <v>4358.17</v>
      </c>
      <c r="L18" s="103"/>
      <c r="M18" s="103"/>
      <c r="N18" s="103">
        <v>357.97</v>
      </c>
      <c r="O18" s="103">
        <v>-0.19</v>
      </c>
      <c r="P18" s="156">
        <f t="shared" si="2"/>
        <v>501.19</v>
      </c>
      <c r="Q18" s="103">
        <f t="shared" si="3"/>
        <v>2069.9700000000003</v>
      </c>
      <c r="R18" s="171">
        <f t="shared" si="4"/>
        <v>2288.1999999999998</v>
      </c>
      <c r="S18" s="29">
        <v>351.79499999999996</v>
      </c>
      <c r="T18" s="128">
        <f t="shared" si="7"/>
        <v>893.43</v>
      </c>
      <c r="U18" s="157">
        <f t="shared" si="5"/>
        <v>87.16</v>
      </c>
      <c r="V18" s="129">
        <f t="shared" si="6"/>
        <v>1332.385</v>
      </c>
      <c r="X18" s="169"/>
    </row>
    <row r="19" spans="2:24" ht="21" x14ac:dyDescent="0.35">
      <c r="B19" s="102" t="s">
        <v>62</v>
      </c>
      <c r="C19" s="125" t="s">
        <v>42</v>
      </c>
      <c r="D19" s="102" t="s">
        <v>119</v>
      </c>
      <c r="E19" s="103">
        <v>4918.3649999999998</v>
      </c>
      <c r="F19" s="126">
        <v>15</v>
      </c>
      <c r="G19" s="127">
        <v>1213.4000000000001</v>
      </c>
      <c r="H19" s="130"/>
      <c r="I19" s="139"/>
      <c r="J19" s="103"/>
      <c r="K19" s="103">
        <f>E19-I19+H19</f>
        <v>4918.3649999999998</v>
      </c>
      <c r="L19" s="103"/>
      <c r="M19" s="103"/>
      <c r="N19" s="103">
        <v>447.61</v>
      </c>
      <c r="O19" s="103">
        <v>0.15</v>
      </c>
      <c r="P19" s="156">
        <f t="shared" si="2"/>
        <v>565.61</v>
      </c>
      <c r="Q19" s="103">
        <f t="shared" si="3"/>
        <v>2226.77</v>
      </c>
      <c r="R19" s="171">
        <f t="shared" si="4"/>
        <v>2691.5949999999998</v>
      </c>
      <c r="S19" s="29">
        <v>373.15</v>
      </c>
      <c r="T19" s="128">
        <f t="shared" si="7"/>
        <v>1008.26</v>
      </c>
      <c r="U19" s="157">
        <f t="shared" si="5"/>
        <v>98.37</v>
      </c>
      <c r="V19" s="129">
        <f t="shared" si="6"/>
        <v>1479.7799999999997</v>
      </c>
      <c r="X19" s="169"/>
    </row>
    <row r="20" spans="2:24" ht="18.75" x14ac:dyDescent="0.3">
      <c r="B20" s="138" t="s">
        <v>20</v>
      </c>
      <c r="C20" s="194"/>
      <c r="D20" s="133"/>
      <c r="E20" s="135">
        <f>SUM(E12:E19)</f>
        <v>53558.664999999994</v>
      </c>
      <c r="F20" s="135"/>
      <c r="G20" s="135">
        <f>+G19+G18+G17+G16+G12+G13+G14</f>
        <v>13005.58</v>
      </c>
      <c r="H20" s="135"/>
      <c r="I20" s="135">
        <f t="shared" ref="I20:V20" si="8">SUM(I12:I19)</f>
        <v>0</v>
      </c>
      <c r="J20" s="135">
        <f t="shared" si="8"/>
        <v>0</v>
      </c>
      <c r="K20" s="135">
        <f>SUM(K12:K19)</f>
        <v>53558.664999999994</v>
      </c>
      <c r="L20" s="135">
        <f t="shared" ref="L20" si="9">SUM(L12:L19)</f>
        <v>0</v>
      </c>
      <c r="M20" s="135">
        <f>SUM(M12:M19)</f>
        <v>0</v>
      </c>
      <c r="N20" s="135">
        <f>SUM(N12:N19)</f>
        <v>6528.11</v>
      </c>
      <c r="O20" s="135">
        <f t="shared" si="8"/>
        <v>-0.25</v>
      </c>
      <c r="P20" s="135">
        <f>SUM(P12:P19)</f>
        <v>6159.2399999999989</v>
      </c>
      <c r="Q20" s="135">
        <f t="shared" si="8"/>
        <v>25692.68</v>
      </c>
      <c r="R20" s="135">
        <f>SUM(R12:R19)</f>
        <v>27865.985000000004</v>
      </c>
      <c r="S20" s="135">
        <f>SUM(S12:S19)</f>
        <v>3401.78</v>
      </c>
      <c r="T20" s="135">
        <f t="shared" si="8"/>
        <v>10979.51</v>
      </c>
      <c r="U20" s="135">
        <f>SUM(U12:U19)</f>
        <v>1071.19</v>
      </c>
      <c r="V20" s="135">
        <f t="shared" si="8"/>
        <v>15452.48</v>
      </c>
      <c r="X20" s="169"/>
    </row>
    <row r="21" spans="2:24" ht="18.75" hidden="1" x14ac:dyDescent="0.3">
      <c r="B21" s="138"/>
      <c r="C21" s="136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37"/>
      <c r="X21" s="169"/>
    </row>
    <row r="22" spans="2:24" ht="18.75" x14ac:dyDescent="0.3">
      <c r="B22" s="138" t="s">
        <v>31</v>
      </c>
      <c r="C22" s="31" t="s">
        <v>83</v>
      </c>
      <c r="E22" s="103"/>
      <c r="F22" s="103"/>
      <c r="G22" s="103"/>
      <c r="H22" s="103"/>
      <c r="I22" s="103"/>
      <c r="J22" s="103"/>
      <c r="K22" s="142"/>
      <c r="L22" s="142"/>
      <c r="M22" s="103"/>
      <c r="N22" s="103"/>
      <c r="O22" s="103"/>
      <c r="P22" s="103"/>
      <c r="Q22" s="103"/>
      <c r="R22" s="137"/>
      <c r="X22" s="169"/>
    </row>
    <row r="23" spans="2:24" ht="21" x14ac:dyDescent="0.35">
      <c r="B23" s="102" t="s">
        <v>63</v>
      </c>
      <c r="C23" s="125" t="s">
        <v>110</v>
      </c>
      <c r="D23" s="158" t="s">
        <v>132</v>
      </c>
      <c r="E23" s="103">
        <v>7000.8</v>
      </c>
      <c r="F23" s="126">
        <v>15</v>
      </c>
      <c r="G23" s="103"/>
      <c r="H23" s="103"/>
      <c r="I23" s="103"/>
      <c r="J23" s="103"/>
      <c r="K23" s="103">
        <f>E23-I23</f>
        <v>7000.8</v>
      </c>
      <c r="L23" s="103">
        <v>0</v>
      </c>
      <c r="M23" s="103"/>
      <c r="N23" s="103">
        <v>857.15</v>
      </c>
      <c r="O23" s="103">
        <v>-0.04</v>
      </c>
      <c r="P23" s="156">
        <f>ROUND(E23*0.115,2)</f>
        <v>805.09</v>
      </c>
      <c r="Q23" s="103">
        <f t="shared" ref="Q23:Q24" si="10">SUM(N23:P23)+G23</f>
        <v>1662.2</v>
      </c>
      <c r="R23" s="171">
        <f>K23-Q23</f>
        <v>5338.6</v>
      </c>
      <c r="S23" s="170">
        <v>433.09500000000003</v>
      </c>
      <c r="T23" s="128">
        <f t="shared" ref="T23:T26" si="11">ROUND(+E23*17.5%,2)+ROUND(E23*3%,2)</f>
        <v>1435.16</v>
      </c>
      <c r="U23" s="157">
        <f t="shared" ref="U23:U26" si="12">ROUND(+E23*2%,2)</f>
        <v>140.02000000000001</v>
      </c>
      <c r="V23" s="129">
        <f t="shared" ref="V23:V24" si="13">SUM(S23:U23)</f>
        <v>2008.2750000000001</v>
      </c>
      <c r="X23" s="169"/>
    </row>
    <row r="24" spans="2:24" ht="21" x14ac:dyDescent="0.35">
      <c r="B24" s="102" t="s">
        <v>112</v>
      </c>
      <c r="C24" s="125" t="s">
        <v>113</v>
      </c>
      <c r="D24" s="158" t="s">
        <v>133</v>
      </c>
      <c r="E24" s="103">
        <v>7000.8</v>
      </c>
      <c r="F24" s="126">
        <v>15</v>
      </c>
      <c r="G24" s="103"/>
      <c r="H24" s="103"/>
      <c r="I24" s="103"/>
      <c r="J24" s="103"/>
      <c r="K24" s="103">
        <f>E24-I24</f>
        <v>7000.8</v>
      </c>
      <c r="L24" s="103">
        <v>0</v>
      </c>
      <c r="M24" s="103"/>
      <c r="N24" s="103">
        <v>857.15</v>
      </c>
      <c r="O24" s="103">
        <v>-0.04</v>
      </c>
      <c r="P24" s="156">
        <f>ROUND(E24*0.115,2)</f>
        <v>805.09</v>
      </c>
      <c r="Q24" s="103">
        <f t="shared" si="10"/>
        <v>1662.2</v>
      </c>
      <c r="R24" s="171">
        <f>K24-Q24</f>
        <v>5338.6</v>
      </c>
      <c r="S24" s="170">
        <v>433.09500000000003</v>
      </c>
      <c r="T24" s="128">
        <f t="shared" si="11"/>
        <v>1435.16</v>
      </c>
      <c r="U24" s="157">
        <f t="shared" si="12"/>
        <v>140.02000000000001</v>
      </c>
      <c r="V24" s="129">
        <f t="shared" si="13"/>
        <v>2008.2750000000001</v>
      </c>
      <c r="X24" s="169"/>
    </row>
    <row r="25" spans="2:24" ht="21" x14ac:dyDescent="0.35">
      <c r="B25" s="102" t="s">
        <v>64</v>
      </c>
      <c r="C25" s="125" t="s">
        <v>45</v>
      </c>
      <c r="D25" s="102" t="s">
        <v>122</v>
      </c>
      <c r="E25" s="103">
        <v>7000.8</v>
      </c>
      <c r="F25" s="126">
        <v>15</v>
      </c>
      <c r="G25" s="141"/>
      <c r="H25" s="103"/>
      <c r="I25" s="143"/>
      <c r="J25" s="103"/>
      <c r="K25" s="103">
        <f>E25-I25</f>
        <v>7000.8</v>
      </c>
      <c r="L25" s="103">
        <v>0</v>
      </c>
      <c r="M25" s="103"/>
      <c r="N25" s="103">
        <v>857.15</v>
      </c>
      <c r="O25" s="103">
        <v>-0.04</v>
      </c>
      <c r="P25" s="156">
        <f>ROUND(E25*0.115,2)</f>
        <v>805.09</v>
      </c>
      <c r="Q25" s="103">
        <f>SUM(N25:P25)+G25</f>
        <v>1662.2</v>
      </c>
      <c r="R25" s="171">
        <f>K25-Q25</f>
        <v>5338.6</v>
      </c>
      <c r="S25" s="170">
        <v>433.09500000000003</v>
      </c>
      <c r="T25" s="128">
        <f t="shared" si="11"/>
        <v>1435.16</v>
      </c>
      <c r="U25" s="157">
        <f t="shared" si="12"/>
        <v>140.02000000000001</v>
      </c>
      <c r="V25" s="129">
        <f>SUM(S25:U25)</f>
        <v>2008.2750000000001</v>
      </c>
      <c r="X25" s="169"/>
    </row>
    <row r="26" spans="2:24" ht="21" x14ac:dyDescent="0.35">
      <c r="B26" s="102" t="s">
        <v>65</v>
      </c>
      <c r="C26" s="125" t="s">
        <v>59</v>
      </c>
      <c r="D26" s="158" t="s">
        <v>134</v>
      </c>
      <c r="E26" s="103">
        <v>7000.8</v>
      </c>
      <c r="F26" s="126">
        <v>15</v>
      </c>
      <c r="G26" s="127">
        <v>1189</v>
      </c>
      <c r="H26" s="130"/>
      <c r="I26" s="130"/>
      <c r="J26" s="103"/>
      <c r="K26" s="103">
        <f>E26-I26+H26</f>
        <v>7000.8</v>
      </c>
      <c r="L26" s="103">
        <v>0</v>
      </c>
      <c r="M26" s="103"/>
      <c r="N26" s="103">
        <v>857.15</v>
      </c>
      <c r="O26" s="103">
        <v>-0.04</v>
      </c>
      <c r="P26" s="156">
        <f>ROUND(E26*0.115,2)</f>
        <v>805.09</v>
      </c>
      <c r="Q26" s="103">
        <f>SUM(N26:P26)+G26</f>
        <v>2851.2</v>
      </c>
      <c r="R26" s="171">
        <f>K26-Q26</f>
        <v>4149.6000000000004</v>
      </c>
      <c r="S26" s="170">
        <v>433.09500000000003</v>
      </c>
      <c r="T26" s="128">
        <f t="shared" si="11"/>
        <v>1435.16</v>
      </c>
      <c r="U26" s="157">
        <f t="shared" si="12"/>
        <v>140.02000000000001</v>
      </c>
      <c r="V26" s="129">
        <f>SUM(S26:U26)</f>
        <v>2008.2750000000001</v>
      </c>
      <c r="X26" s="169"/>
    </row>
    <row r="27" spans="2:24" ht="18.75" x14ac:dyDescent="0.3">
      <c r="B27" s="138" t="s">
        <v>20</v>
      </c>
      <c r="C27" s="132"/>
      <c r="D27" s="133"/>
      <c r="E27" s="135">
        <f>SUM(E23:E26)</f>
        <v>28003.200000000001</v>
      </c>
      <c r="F27" s="135"/>
      <c r="G27" s="135">
        <f>+G26+G25+G23+G24</f>
        <v>1189</v>
      </c>
      <c r="H27" s="135"/>
      <c r="I27" s="135">
        <f t="shared" ref="I27:J27" si="14">SUM(I23:I26)</f>
        <v>0</v>
      </c>
      <c r="J27" s="135">
        <f t="shared" si="14"/>
        <v>0</v>
      </c>
      <c r="K27" s="135">
        <f>SUM(K23:K26)</f>
        <v>28003.200000000001</v>
      </c>
      <c r="L27" s="135">
        <f t="shared" ref="L27" si="15">SUM(L23:L26)</f>
        <v>0</v>
      </c>
      <c r="M27" s="135">
        <f>SUM(M23:M26)</f>
        <v>0</v>
      </c>
      <c r="N27" s="135">
        <f>SUM(N23:N26)</f>
        <v>3428.6</v>
      </c>
      <c r="O27" s="135">
        <f t="shared" ref="O27:Q27" si="16">SUM(O23:O26)</f>
        <v>-0.16</v>
      </c>
      <c r="P27" s="135">
        <f>SUM(P23:P26)</f>
        <v>3220.36</v>
      </c>
      <c r="Q27" s="135">
        <f t="shared" si="16"/>
        <v>7837.8</v>
      </c>
      <c r="R27" s="135">
        <f>SUM(R23:R26)</f>
        <v>20165.400000000001</v>
      </c>
      <c r="S27" s="135">
        <f>SUM(S23:S26)</f>
        <v>1732.38</v>
      </c>
      <c r="T27" s="135">
        <f>SUM(T23:T26)</f>
        <v>5740.64</v>
      </c>
      <c r="U27" s="135">
        <f>SUM(U23:U26)</f>
        <v>560.08000000000004</v>
      </c>
      <c r="V27" s="135">
        <f>SUM(V23:V26)</f>
        <v>8033.1</v>
      </c>
      <c r="X27" s="169"/>
    </row>
    <row r="28" spans="2:24" ht="18.75" hidden="1" x14ac:dyDescent="0.3">
      <c r="C28" s="136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37"/>
      <c r="X28" s="169"/>
    </row>
    <row r="29" spans="2:24" ht="18.75" x14ac:dyDescent="0.3">
      <c r="B29" s="138" t="s">
        <v>33</v>
      </c>
      <c r="C29" s="31" t="s">
        <v>32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37"/>
      <c r="X29" s="169"/>
    </row>
    <row r="30" spans="2:24" ht="21" x14ac:dyDescent="0.35">
      <c r="B30" s="102" t="s">
        <v>66</v>
      </c>
      <c r="C30" s="125" t="s">
        <v>49</v>
      </c>
      <c r="D30" s="158" t="s">
        <v>128</v>
      </c>
      <c r="E30" s="103">
        <v>7000.8</v>
      </c>
      <c r="F30" s="126">
        <v>15</v>
      </c>
      <c r="G30" s="103"/>
      <c r="H30" s="103"/>
      <c r="I30" s="144"/>
      <c r="J30" s="103"/>
      <c r="K30" s="103">
        <f t="shared" ref="K30:K44" si="17">E30-I30</f>
        <v>7000.8</v>
      </c>
      <c r="L30" s="103">
        <v>0</v>
      </c>
      <c r="M30" s="103"/>
      <c r="N30" s="103">
        <v>857.15</v>
      </c>
      <c r="O30" s="103">
        <v>0.16</v>
      </c>
      <c r="P30" s="156">
        <f>ROUND(E30*0.115,2)</f>
        <v>805.09</v>
      </c>
      <c r="Q30" s="103">
        <f t="shared" ref="Q30:Q40" si="18">SUM(N30:P30)+G30</f>
        <v>1662.4</v>
      </c>
      <c r="R30" s="171">
        <f t="shared" ref="R30:R44" si="19">K30-Q30</f>
        <v>5338.4</v>
      </c>
      <c r="S30" s="170">
        <v>433.09500000000003</v>
      </c>
      <c r="T30" s="128">
        <f t="shared" ref="T30:T40" si="20">ROUND(+E30*17.5%,2)+ROUND(E30*3%,2)</f>
        <v>1435.16</v>
      </c>
      <c r="U30" s="157">
        <f t="shared" ref="U30:U40" si="21">ROUND(+E30*2%,2)</f>
        <v>140.02000000000001</v>
      </c>
      <c r="V30" s="129">
        <f>SUM(S30:U30)</f>
        <v>2008.2750000000001</v>
      </c>
      <c r="X30" s="169"/>
    </row>
    <row r="31" spans="2:24" ht="21" x14ac:dyDescent="0.35">
      <c r="B31" s="102" t="s">
        <v>67</v>
      </c>
      <c r="C31" s="125" t="s">
        <v>51</v>
      </c>
      <c r="D31" s="158" t="s">
        <v>135</v>
      </c>
      <c r="E31" s="103">
        <v>7000.8</v>
      </c>
      <c r="F31" s="126">
        <v>15</v>
      </c>
      <c r="G31" s="141"/>
      <c r="H31" s="103"/>
      <c r="I31" s="130"/>
      <c r="J31" s="141"/>
      <c r="K31" s="141">
        <f t="shared" si="17"/>
        <v>7000.8</v>
      </c>
      <c r="L31" s="141">
        <v>0</v>
      </c>
      <c r="M31" s="103"/>
      <c r="N31" s="103">
        <v>857.15</v>
      </c>
      <c r="O31" s="103">
        <v>-0.04</v>
      </c>
      <c r="P31" s="156">
        <f t="shared" ref="P31:P40" si="22">ROUND(E31*0.115,2)</f>
        <v>805.09</v>
      </c>
      <c r="Q31" s="103">
        <f>SUM(N31:P31)+G31</f>
        <v>1662.2</v>
      </c>
      <c r="R31" s="171">
        <f t="shared" si="19"/>
        <v>5338.6</v>
      </c>
      <c r="S31" s="170">
        <v>433.09500000000003</v>
      </c>
      <c r="T31" s="128">
        <f t="shared" si="20"/>
        <v>1435.16</v>
      </c>
      <c r="U31" s="157">
        <f t="shared" si="21"/>
        <v>140.02000000000001</v>
      </c>
      <c r="V31" s="129">
        <f>SUM(S31:U31)</f>
        <v>2008.2750000000001</v>
      </c>
      <c r="X31" s="169"/>
    </row>
    <row r="32" spans="2:24" ht="21" x14ac:dyDescent="0.35">
      <c r="B32" s="102" t="s">
        <v>68</v>
      </c>
      <c r="C32" s="125" t="s">
        <v>48</v>
      </c>
      <c r="D32" s="102" t="s">
        <v>123</v>
      </c>
      <c r="E32" s="103">
        <v>7443.8</v>
      </c>
      <c r="F32" s="126">
        <v>15</v>
      </c>
      <c r="G32" s="103"/>
      <c r="H32" s="103"/>
      <c r="I32" s="130"/>
      <c r="J32" s="103"/>
      <c r="K32" s="103">
        <f t="shared" si="17"/>
        <v>7443.8</v>
      </c>
      <c r="L32" s="103">
        <v>0</v>
      </c>
      <c r="M32" s="103"/>
      <c r="N32" s="103">
        <v>951.78</v>
      </c>
      <c r="O32" s="103">
        <v>-0.02</v>
      </c>
      <c r="P32" s="156">
        <f t="shared" si="22"/>
        <v>856.04</v>
      </c>
      <c r="Q32" s="103">
        <f t="shared" si="18"/>
        <v>1807.8</v>
      </c>
      <c r="R32" s="171">
        <f t="shared" si="19"/>
        <v>5636</v>
      </c>
      <c r="S32" s="170">
        <v>446.71999999999991</v>
      </c>
      <c r="T32" s="128">
        <f t="shared" si="20"/>
        <v>1525.98</v>
      </c>
      <c r="U32" s="157">
        <f>ROUND(+E32*2%,2)</f>
        <v>148.88</v>
      </c>
      <c r="V32" s="129">
        <f t="shared" ref="V32:V40" si="23">SUM(S32:U32)</f>
        <v>2121.58</v>
      </c>
      <c r="X32" s="169"/>
    </row>
    <row r="33" spans="2:24" ht="21" x14ac:dyDescent="0.35">
      <c r="B33" s="102" t="s">
        <v>77</v>
      </c>
      <c r="C33" s="125" t="s">
        <v>111</v>
      </c>
      <c r="D33" s="102" t="s">
        <v>127</v>
      </c>
      <c r="E33" s="103">
        <v>7000.8</v>
      </c>
      <c r="F33" s="126">
        <v>15</v>
      </c>
      <c r="G33" s="127">
        <v>1167</v>
      </c>
      <c r="H33" s="103"/>
      <c r="I33" s="144"/>
      <c r="J33" s="103"/>
      <c r="K33" s="103">
        <f>E33-I33</f>
        <v>7000.8</v>
      </c>
      <c r="L33" s="103">
        <v>0</v>
      </c>
      <c r="M33" s="103"/>
      <c r="N33" s="103">
        <v>857.15</v>
      </c>
      <c r="O33" s="103">
        <v>-0.04</v>
      </c>
      <c r="P33" s="156">
        <f t="shared" si="22"/>
        <v>805.09</v>
      </c>
      <c r="Q33" s="103">
        <f>SUM(N33:P33)+G33</f>
        <v>2829.2</v>
      </c>
      <c r="R33" s="171">
        <f>K33-Q33</f>
        <v>4171.6000000000004</v>
      </c>
      <c r="S33" s="170">
        <v>433.09500000000003</v>
      </c>
      <c r="T33" s="128">
        <f t="shared" si="20"/>
        <v>1435.16</v>
      </c>
      <c r="U33" s="157">
        <f t="shared" si="21"/>
        <v>140.02000000000001</v>
      </c>
      <c r="V33" s="129">
        <f t="shared" si="23"/>
        <v>2008.2750000000001</v>
      </c>
      <c r="X33" s="169"/>
    </row>
    <row r="34" spans="2:24" ht="21" x14ac:dyDescent="0.35">
      <c r="B34" s="102" t="s">
        <v>70</v>
      </c>
      <c r="C34" s="125" t="s">
        <v>46</v>
      </c>
      <c r="D34" s="102" t="s">
        <v>124</v>
      </c>
      <c r="E34" s="103">
        <v>7000.8</v>
      </c>
      <c r="F34" s="126">
        <v>15</v>
      </c>
      <c r="G34" s="127">
        <v>572.98</v>
      </c>
      <c r="H34" s="103"/>
      <c r="I34" s="139"/>
      <c r="J34" s="141"/>
      <c r="K34" s="141">
        <f t="shared" si="17"/>
        <v>7000.8</v>
      </c>
      <c r="L34" s="141">
        <v>0</v>
      </c>
      <c r="M34" s="103"/>
      <c r="N34" s="103">
        <v>857.15</v>
      </c>
      <c r="O34" s="103">
        <v>-0.02</v>
      </c>
      <c r="P34" s="156">
        <f t="shared" si="22"/>
        <v>805.09</v>
      </c>
      <c r="Q34" s="103">
        <f t="shared" si="18"/>
        <v>2235.1999999999998</v>
      </c>
      <c r="R34" s="171">
        <f t="shared" si="19"/>
        <v>4765.6000000000004</v>
      </c>
      <c r="S34" s="170">
        <v>433.09500000000003</v>
      </c>
      <c r="T34" s="128">
        <f t="shared" si="20"/>
        <v>1435.16</v>
      </c>
      <c r="U34" s="157">
        <f t="shared" si="21"/>
        <v>140.02000000000001</v>
      </c>
      <c r="V34" s="129">
        <f t="shared" si="23"/>
        <v>2008.2750000000001</v>
      </c>
      <c r="X34" s="169"/>
    </row>
    <row r="35" spans="2:24" ht="21" x14ac:dyDescent="0.35">
      <c r="B35" s="102" t="s">
        <v>71</v>
      </c>
      <c r="C35" s="125" t="s">
        <v>50</v>
      </c>
      <c r="D35" s="102" t="s">
        <v>124</v>
      </c>
      <c r="E35" s="103">
        <v>7000.8</v>
      </c>
      <c r="F35" s="126">
        <v>15</v>
      </c>
      <c r="G35" s="103"/>
      <c r="H35" s="141"/>
      <c r="I35" s="130"/>
      <c r="J35" s="141"/>
      <c r="K35" s="141">
        <f t="shared" si="17"/>
        <v>7000.8</v>
      </c>
      <c r="L35" s="141">
        <v>0</v>
      </c>
      <c r="M35" s="103"/>
      <c r="N35" s="103">
        <v>857.15</v>
      </c>
      <c r="O35" s="103">
        <v>-0.04</v>
      </c>
      <c r="P35" s="156">
        <f t="shared" si="22"/>
        <v>805.09</v>
      </c>
      <c r="Q35" s="103">
        <f t="shared" si="18"/>
        <v>1662.2</v>
      </c>
      <c r="R35" s="171">
        <f t="shared" si="19"/>
        <v>5338.6</v>
      </c>
      <c r="S35" s="170">
        <v>433.09500000000003</v>
      </c>
      <c r="T35" s="128">
        <f t="shared" si="20"/>
        <v>1435.16</v>
      </c>
      <c r="U35" s="157">
        <f t="shared" si="21"/>
        <v>140.02000000000001</v>
      </c>
      <c r="V35" s="129">
        <f t="shared" si="23"/>
        <v>2008.2750000000001</v>
      </c>
      <c r="X35" s="169"/>
    </row>
    <row r="36" spans="2:24" ht="21" x14ac:dyDescent="0.35">
      <c r="B36" s="102" t="s">
        <v>72</v>
      </c>
      <c r="C36" s="125" t="s">
        <v>52</v>
      </c>
      <c r="D36" s="102" t="s">
        <v>124</v>
      </c>
      <c r="E36" s="103">
        <v>7000.8</v>
      </c>
      <c r="F36" s="126">
        <v>15</v>
      </c>
      <c r="G36" s="103"/>
      <c r="H36" s="103"/>
      <c r="I36" s="139"/>
      <c r="J36" s="141"/>
      <c r="K36" s="141">
        <f t="shared" si="17"/>
        <v>7000.8</v>
      </c>
      <c r="L36" s="141">
        <v>0</v>
      </c>
      <c r="M36" s="103"/>
      <c r="N36" s="103">
        <v>857.15</v>
      </c>
      <c r="O36" s="103">
        <v>-0.04</v>
      </c>
      <c r="P36" s="156">
        <f t="shared" si="22"/>
        <v>805.09</v>
      </c>
      <c r="Q36" s="103">
        <f t="shared" si="18"/>
        <v>1662.2</v>
      </c>
      <c r="R36" s="171">
        <f t="shared" si="19"/>
        <v>5338.6</v>
      </c>
      <c r="S36" s="170">
        <v>433.09500000000003</v>
      </c>
      <c r="T36" s="128">
        <f t="shared" si="20"/>
        <v>1435.16</v>
      </c>
      <c r="U36" s="157">
        <f t="shared" si="21"/>
        <v>140.02000000000001</v>
      </c>
      <c r="V36" s="129">
        <f t="shared" si="23"/>
        <v>2008.2750000000001</v>
      </c>
      <c r="X36" s="169"/>
    </row>
    <row r="37" spans="2:24" ht="21" x14ac:dyDescent="0.35">
      <c r="B37" s="202" t="s">
        <v>73</v>
      </c>
      <c r="C37" s="203" t="s">
        <v>165</v>
      </c>
      <c r="D37" s="202" t="s">
        <v>125</v>
      </c>
      <c r="E37" s="6">
        <v>0</v>
      </c>
      <c r="F37" s="204">
        <v>15</v>
      </c>
      <c r="G37" s="6"/>
      <c r="H37" s="6"/>
      <c r="I37" s="205"/>
      <c r="J37" s="6"/>
      <c r="K37" s="6">
        <f t="shared" si="17"/>
        <v>0</v>
      </c>
      <c r="L37" s="6">
        <v>0</v>
      </c>
      <c r="M37" s="6"/>
      <c r="N37" s="6">
        <v>0</v>
      </c>
      <c r="O37" s="6">
        <v>-0.04</v>
      </c>
      <c r="P37" s="6">
        <f t="shared" si="22"/>
        <v>0</v>
      </c>
      <c r="Q37" s="6">
        <v>0</v>
      </c>
      <c r="R37" s="201">
        <f>K37-Q37</f>
        <v>0</v>
      </c>
      <c r="S37" s="211">
        <v>433.09500000000003</v>
      </c>
      <c r="T37" s="206">
        <f t="shared" si="20"/>
        <v>0</v>
      </c>
      <c r="U37" s="206">
        <f t="shared" si="21"/>
        <v>0</v>
      </c>
      <c r="V37" s="207">
        <f t="shared" si="23"/>
        <v>433.09500000000003</v>
      </c>
      <c r="X37" s="169"/>
    </row>
    <row r="38" spans="2:24" ht="21" x14ac:dyDescent="0.35">
      <c r="B38" s="102" t="s">
        <v>74</v>
      </c>
      <c r="C38" s="125" t="s">
        <v>53</v>
      </c>
      <c r="D38" s="102" t="s">
        <v>125</v>
      </c>
      <c r="E38" s="103">
        <v>7000.8</v>
      </c>
      <c r="F38" s="126">
        <v>15</v>
      </c>
      <c r="G38" s="141"/>
      <c r="H38" s="103"/>
      <c r="I38" s="139"/>
      <c r="J38" s="103"/>
      <c r="K38" s="103">
        <f t="shared" si="17"/>
        <v>7000.8</v>
      </c>
      <c r="L38" s="103">
        <v>0</v>
      </c>
      <c r="M38" s="103"/>
      <c r="N38" s="103">
        <v>857.15</v>
      </c>
      <c r="O38" s="103">
        <v>-0.04</v>
      </c>
      <c r="P38" s="156">
        <f t="shared" si="22"/>
        <v>805.09</v>
      </c>
      <c r="Q38" s="103">
        <f>SUM(N38:P38)+G38</f>
        <v>1662.2</v>
      </c>
      <c r="R38" s="171">
        <f t="shared" si="19"/>
        <v>5338.6</v>
      </c>
      <c r="S38" s="170">
        <v>433.09500000000003</v>
      </c>
      <c r="T38" s="128">
        <f t="shared" si="20"/>
        <v>1435.16</v>
      </c>
      <c r="U38" s="157">
        <f t="shared" si="21"/>
        <v>140.02000000000001</v>
      </c>
      <c r="V38" s="129">
        <f t="shared" si="23"/>
        <v>2008.2750000000001</v>
      </c>
      <c r="X38" s="169"/>
    </row>
    <row r="39" spans="2:24" ht="21" x14ac:dyDescent="0.35">
      <c r="B39" s="102" t="s">
        <v>75</v>
      </c>
      <c r="C39" s="125" t="s">
        <v>39</v>
      </c>
      <c r="D39" s="102" t="s">
        <v>126</v>
      </c>
      <c r="E39" s="103">
        <v>7000.8</v>
      </c>
      <c r="F39" s="126">
        <v>15</v>
      </c>
      <c r="G39" s="141"/>
      <c r="H39" s="103"/>
      <c r="I39" s="144"/>
      <c r="J39" s="103"/>
      <c r="K39" s="103">
        <f t="shared" si="17"/>
        <v>7000.8</v>
      </c>
      <c r="L39" s="103">
        <v>0</v>
      </c>
      <c r="M39" s="103"/>
      <c r="N39" s="103">
        <v>857.15</v>
      </c>
      <c r="O39" s="103">
        <v>-0.04</v>
      </c>
      <c r="P39" s="156">
        <f t="shared" si="22"/>
        <v>805.09</v>
      </c>
      <c r="Q39" s="103">
        <f>SUM(N39:P39)+G39</f>
        <v>1662.2</v>
      </c>
      <c r="R39" s="171">
        <f t="shared" si="19"/>
        <v>5338.6</v>
      </c>
      <c r="S39" s="170">
        <v>433.09500000000003</v>
      </c>
      <c r="T39" s="128">
        <f t="shared" si="20"/>
        <v>1435.16</v>
      </c>
      <c r="U39" s="157">
        <f t="shared" si="21"/>
        <v>140.02000000000001</v>
      </c>
      <c r="V39" s="129">
        <f t="shared" si="23"/>
        <v>2008.2750000000001</v>
      </c>
      <c r="X39" s="169"/>
    </row>
    <row r="40" spans="2:24" ht="21" x14ac:dyDescent="0.35">
      <c r="B40" s="102" t="s">
        <v>76</v>
      </c>
      <c r="C40" s="125" t="s">
        <v>54</v>
      </c>
      <c r="D40" s="102" t="s">
        <v>126</v>
      </c>
      <c r="E40" s="103">
        <v>7000.8</v>
      </c>
      <c r="F40" s="126">
        <v>15</v>
      </c>
      <c r="G40" s="127">
        <v>1910</v>
      </c>
      <c r="H40" s="103"/>
      <c r="I40" s="144"/>
      <c r="J40" s="103"/>
      <c r="K40" s="103">
        <f t="shared" si="17"/>
        <v>7000.8</v>
      </c>
      <c r="L40" s="103">
        <v>0</v>
      </c>
      <c r="M40" s="103"/>
      <c r="N40" s="103">
        <v>857.15</v>
      </c>
      <c r="O40" s="103">
        <v>-0.04</v>
      </c>
      <c r="P40" s="156">
        <f t="shared" si="22"/>
        <v>805.09</v>
      </c>
      <c r="Q40" s="103">
        <f t="shared" si="18"/>
        <v>3572.2</v>
      </c>
      <c r="R40" s="171">
        <f t="shared" si="19"/>
        <v>3428.6000000000004</v>
      </c>
      <c r="S40" s="170">
        <v>433.09500000000003</v>
      </c>
      <c r="T40" s="128">
        <f t="shared" si="20"/>
        <v>1435.16</v>
      </c>
      <c r="U40" s="157">
        <f t="shared" si="21"/>
        <v>140.02000000000001</v>
      </c>
      <c r="V40" s="129">
        <f t="shared" si="23"/>
        <v>2008.2750000000001</v>
      </c>
      <c r="X40" s="169"/>
    </row>
    <row r="41" spans="2:24" ht="21" x14ac:dyDescent="0.35">
      <c r="B41" s="158"/>
      <c r="C41" s="30" t="s">
        <v>170</v>
      </c>
      <c r="D41" s="102" t="s">
        <v>125</v>
      </c>
      <c r="E41" s="103">
        <v>7000.8</v>
      </c>
      <c r="F41" s="126">
        <v>15</v>
      </c>
      <c r="G41" s="141"/>
      <c r="H41" s="103"/>
      <c r="I41" s="144"/>
      <c r="J41" s="103"/>
      <c r="K41" s="103">
        <f t="shared" si="17"/>
        <v>7000.8</v>
      </c>
      <c r="L41" s="103">
        <v>0</v>
      </c>
      <c r="M41" s="103"/>
      <c r="N41" s="103">
        <v>857.15</v>
      </c>
      <c r="O41" s="103">
        <v>0.05</v>
      </c>
      <c r="P41" s="141"/>
      <c r="Q41" s="103">
        <f t="shared" ref="Q41" si="24">SUM(N41:P41)+G41</f>
        <v>857.19999999999993</v>
      </c>
      <c r="R41" s="171">
        <f t="shared" si="19"/>
        <v>6143.6</v>
      </c>
      <c r="S41" s="170">
        <v>433.09500000000003</v>
      </c>
      <c r="T41" s="128"/>
      <c r="U41" s="157"/>
      <c r="V41" s="129">
        <f t="shared" ref="V41" si="25">SUM(S41:U41)</f>
        <v>433.09500000000003</v>
      </c>
      <c r="X41" s="169"/>
    </row>
    <row r="42" spans="2:24" ht="21" x14ac:dyDescent="0.35">
      <c r="B42" s="158" t="s">
        <v>150</v>
      </c>
      <c r="C42" s="30" t="s">
        <v>171</v>
      </c>
      <c r="D42" s="158" t="s">
        <v>109</v>
      </c>
      <c r="E42" s="103">
        <v>7000.8</v>
      </c>
      <c r="F42" s="126">
        <v>15</v>
      </c>
      <c r="G42" s="141"/>
      <c r="H42" s="103"/>
      <c r="I42" s="144"/>
      <c r="J42" s="103"/>
      <c r="K42" s="103">
        <f t="shared" si="17"/>
        <v>7000.8</v>
      </c>
      <c r="L42" s="103">
        <v>0</v>
      </c>
      <c r="M42" s="103"/>
      <c r="N42" s="103">
        <v>857.15</v>
      </c>
      <c r="O42" s="103">
        <v>0.05</v>
      </c>
      <c r="P42" s="141"/>
      <c r="Q42" s="103">
        <f t="shared" ref="Q42:Q44" si="26">SUM(N42:P42)+G42</f>
        <v>857.19999999999993</v>
      </c>
      <c r="R42" s="171">
        <f t="shared" si="19"/>
        <v>6143.6</v>
      </c>
      <c r="S42" s="170">
        <v>433.09500000000003</v>
      </c>
      <c r="T42" s="128"/>
      <c r="U42" s="157"/>
      <c r="V42" s="129">
        <f t="shared" ref="V42:V44" si="27">SUM(S42:U42)</f>
        <v>433.09500000000003</v>
      </c>
      <c r="X42" s="169"/>
    </row>
    <row r="43" spans="2:24" ht="21" x14ac:dyDescent="0.35">
      <c r="B43" s="158" t="s">
        <v>151</v>
      </c>
      <c r="C43" s="30" t="s">
        <v>172</v>
      </c>
      <c r="D43" s="158" t="s">
        <v>109</v>
      </c>
      <c r="E43" s="103">
        <v>7000.8</v>
      </c>
      <c r="F43" s="126">
        <v>15</v>
      </c>
      <c r="G43" s="141"/>
      <c r="H43" s="103"/>
      <c r="I43" s="144"/>
      <c r="J43" s="103"/>
      <c r="K43" s="103">
        <f t="shared" si="17"/>
        <v>7000.8</v>
      </c>
      <c r="L43" s="103">
        <v>0</v>
      </c>
      <c r="M43" s="103"/>
      <c r="N43" s="103">
        <v>857.15</v>
      </c>
      <c r="O43" s="103">
        <v>0.05</v>
      </c>
      <c r="P43" s="141"/>
      <c r="Q43" s="103">
        <f t="shared" si="26"/>
        <v>857.19999999999993</v>
      </c>
      <c r="R43" s="171">
        <f t="shared" si="19"/>
        <v>6143.6</v>
      </c>
      <c r="S43" s="170">
        <v>433.09500000000003</v>
      </c>
      <c r="T43" s="128"/>
      <c r="U43" s="157"/>
      <c r="V43" s="129">
        <f t="shared" si="27"/>
        <v>433.09500000000003</v>
      </c>
      <c r="X43" s="169"/>
    </row>
    <row r="44" spans="2:24" ht="21" x14ac:dyDescent="0.35">
      <c r="B44" s="158" t="s">
        <v>152</v>
      </c>
      <c r="C44" s="30" t="s">
        <v>173</v>
      </c>
      <c r="D44" s="158" t="s">
        <v>109</v>
      </c>
      <c r="E44" s="103">
        <v>7000.8</v>
      </c>
      <c r="F44" s="126">
        <v>15</v>
      </c>
      <c r="G44" s="141"/>
      <c r="H44" s="103"/>
      <c r="I44" s="144"/>
      <c r="J44" s="103"/>
      <c r="K44" s="103">
        <f t="shared" si="17"/>
        <v>7000.8</v>
      </c>
      <c r="L44" s="103">
        <v>0</v>
      </c>
      <c r="M44" s="103"/>
      <c r="N44" s="103">
        <v>857.15</v>
      </c>
      <c r="O44" s="103">
        <v>0.05</v>
      </c>
      <c r="P44" s="141"/>
      <c r="Q44" s="103">
        <f t="shared" si="26"/>
        <v>857.19999999999993</v>
      </c>
      <c r="R44" s="171">
        <f t="shared" si="19"/>
        <v>6143.6</v>
      </c>
      <c r="S44" s="170">
        <v>433.09500000000003</v>
      </c>
      <c r="T44" s="128"/>
      <c r="U44" s="157"/>
      <c r="V44" s="129">
        <f t="shared" si="27"/>
        <v>433.09500000000003</v>
      </c>
      <c r="X44" s="169"/>
    </row>
    <row r="45" spans="2:24" ht="18.75" x14ac:dyDescent="0.3">
      <c r="B45" s="138" t="s">
        <v>20</v>
      </c>
      <c r="C45" s="132"/>
      <c r="D45" s="133"/>
      <c r="E45" s="135">
        <f>SUM(E30:E44)</f>
        <v>98454.200000000026</v>
      </c>
      <c r="F45" s="135">
        <f t="shared" ref="F45:V45" si="28">SUM(F30:F44)</f>
        <v>225</v>
      </c>
      <c r="G45" s="135">
        <f>SUM(G30:G44)</f>
        <v>3649.98</v>
      </c>
      <c r="H45" s="135">
        <f t="shared" si="28"/>
        <v>0</v>
      </c>
      <c r="I45" s="135">
        <f t="shared" si="28"/>
        <v>0</v>
      </c>
      <c r="J45" s="135">
        <f t="shared" si="28"/>
        <v>0</v>
      </c>
      <c r="K45" s="135">
        <f>SUM(K30:K44)</f>
        <v>98454.200000000026</v>
      </c>
      <c r="L45" s="135">
        <f t="shared" si="28"/>
        <v>0</v>
      </c>
      <c r="M45" s="135">
        <f t="shared" si="28"/>
        <v>0</v>
      </c>
      <c r="N45" s="135">
        <f t="shared" si="28"/>
        <v>12094.729999999998</v>
      </c>
      <c r="O45" s="135">
        <f t="shared" si="28"/>
        <v>0</v>
      </c>
      <c r="P45" s="135">
        <f t="shared" si="28"/>
        <v>8101.8500000000013</v>
      </c>
      <c r="Q45" s="135">
        <f t="shared" si="28"/>
        <v>23846.600000000006</v>
      </c>
      <c r="R45" s="135">
        <f t="shared" si="28"/>
        <v>74607.599999999991</v>
      </c>
      <c r="S45" s="135">
        <f>SUM(S30:S44)</f>
        <v>6510.050000000002</v>
      </c>
      <c r="T45" s="135">
        <f t="shared" si="28"/>
        <v>14442.42</v>
      </c>
      <c r="U45" s="135">
        <f t="shared" si="28"/>
        <v>1409.06</v>
      </c>
      <c r="V45" s="135">
        <f t="shared" si="28"/>
        <v>22361.530000000006</v>
      </c>
      <c r="X45" s="169"/>
    </row>
    <row r="46" spans="2:24" ht="18.75" hidden="1" x14ac:dyDescent="0.3">
      <c r="C46" s="136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37"/>
      <c r="X46" s="169"/>
    </row>
    <row r="47" spans="2:24" ht="18.75" x14ac:dyDescent="0.3">
      <c r="B47" s="138" t="s">
        <v>78</v>
      </c>
      <c r="C47" s="31" t="s">
        <v>34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37"/>
      <c r="X47" s="169"/>
    </row>
    <row r="48" spans="2:24" ht="21" x14ac:dyDescent="0.35">
      <c r="B48" s="102" t="s">
        <v>69</v>
      </c>
      <c r="C48" s="125" t="s">
        <v>55</v>
      </c>
      <c r="D48" s="102" t="s">
        <v>130</v>
      </c>
      <c r="E48" s="103">
        <v>7443.8</v>
      </c>
      <c r="F48" s="126">
        <v>15</v>
      </c>
      <c r="G48" s="137"/>
      <c r="H48" s="103"/>
      <c r="I48" s="144"/>
      <c r="J48" s="141"/>
      <c r="K48" s="141">
        <f t="shared" ref="K48" si="29">E48-I48</f>
        <v>7443.8</v>
      </c>
      <c r="L48" s="141"/>
      <c r="M48" s="103"/>
      <c r="N48" s="103">
        <v>951.78</v>
      </c>
      <c r="O48" s="103">
        <v>-0.02</v>
      </c>
      <c r="P48" s="156">
        <f t="shared" ref="P48:P50" si="30">ROUND(E48*0.115,2)</f>
        <v>856.04</v>
      </c>
      <c r="Q48" s="103">
        <f t="shared" ref="Q48" si="31">SUM(N48:P48)+G48</f>
        <v>1807.8</v>
      </c>
      <c r="R48" s="171">
        <f t="shared" ref="R48" si="32">K48-Q48</f>
        <v>5636</v>
      </c>
      <c r="S48" s="170">
        <v>446.71999999999991</v>
      </c>
      <c r="T48" s="128">
        <f t="shared" ref="T48:T50" si="33">ROUND(+E48*17.5%,2)+ROUND(E48*3%,2)</f>
        <v>1525.98</v>
      </c>
      <c r="U48" s="157">
        <f t="shared" ref="U48:U50" si="34">ROUND(+E48*2%,2)</f>
        <v>148.88</v>
      </c>
      <c r="V48" s="129">
        <f t="shared" ref="V48:V53" si="35">SUM(S48:U48)</f>
        <v>2121.58</v>
      </c>
      <c r="X48" s="169"/>
    </row>
    <row r="49" spans="2:24" ht="21" x14ac:dyDescent="0.35">
      <c r="B49" s="102" t="s">
        <v>81</v>
      </c>
      <c r="C49" s="125" t="s">
        <v>44</v>
      </c>
      <c r="D49" s="102" t="s">
        <v>128</v>
      </c>
      <c r="E49" s="103">
        <v>7000.8</v>
      </c>
      <c r="F49" s="126">
        <v>15</v>
      </c>
      <c r="G49" s="127">
        <v>1171.28</v>
      </c>
      <c r="H49" s="103"/>
      <c r="I49" s="144"/>
      <c r="J49" s="103"/>
      <c r="K49" s="103">
        <f>E49-I49</f>
        <v>7000.8</v>
      </c>
      <c r="L49" s="103"/>
      <c r="M49" s="103"/>
      <c r="N49" s="103">
        <v>857.15</v>
      </c>
      <c r="O49" s="103">
        <v>0.08</v>
      </c>
      <c r="P49" s="156">
        <f t="shared" si="30"/>
        <v>805.09</v>
      </c>
      <c r="Q49" s="103">
        <f>SUM(N49:P49)+G49</f>
        <v>2833.6000000000004</v>
      </c>
      <c r="R49" s="171">
        <f>K49-Q49</f>
        <v>4167.2</v>
      </c>
      <c r="S49" s="170">
        <v>433.09500000000003</v>
      </c>
      <c r="T49" s="128">
        <f t="shared" si="33"/>
        <v>1435.16</v>
      </c>
      <c r="U49" s="157">
        <f t="shared" si="34"/>
        <v>140.02000000000001</v>
      </c>
      <c r="V49" s="129">
        <f t="shared" si="35"/>
        <v>2008.2750000000001</v>
      </c>
      <c r="X49" s="169"/>
    </row>
    <row r="50" spans="2:24" ht="21" x14ac:dyDescent="0.35">
      <c r="B50" s="102" t="s">
        <v>107</v>
      </c>
      <c r="C50" s="125" t="s">
        <v>108</v>
      </c>
      <c r="D50" s="102" t="s">
        <v>109</v>
      </c>
      <c r="E50" s="103">
        <v>7000.8</v>
      </c>
      <c r="F50" s="126">
        <v>15</v>
      </c>
      <c r="G50" s="103"/>
      <c r="H50" s="103"/>
      <c r="I50" s="103"/>
      <c r="J50" s="103"/>
      <c r="K50" s="103">
        <f>E50-I50</f>
        <v>7000.8</v>
      </c>
      <c r="L50" s="103"/>
      <c r="M50" s="103"/>
      <c r="N50" s="103">
        <v>857.15</v>
      </c>
      <c r="O50" s="103">
        <v>-0.04</v>
      </c>
      <c r="P50" s="156">
        <f t="shared" si="30"/>
        <v>805.09</v>
      </c>
      <c r="Q50" s="103">
        <f>SUM(N50:P50)+G50</f>
        <v>1662.2</v>
      </c>
      <c r="R50" s="171">
        <f>K50-Q50</f>
        <v>5338.6</v>
      </c>
      <c r="S50" s="170">
        <v>433.09500000000003</v>
      </c>
      <c r="T50" s="128">
        <f t="shared" si="33"/>
        <v>1435.16</v>
      </c>
      <c r="U50" s="157">
        <f t="shared" si="34"/>
        <v>140.02000000000001</v>
      </c>
      <c r="V50" s="129">
        <f t="shared" si="35"/>
        <v>2008.2750000000001</v>
      </c>
      <c r="X50" s="169"/>
    </row>
    <row r="51" spans="2:24" ht="31.5" x14ac:dyDescent="0.35">
      <c r="B51" s="158" t="s">
        <v>156</v>
      </c>
      <c r="C51" s="30" t="s">
        <v>167</v>
      </c>
      <c r="D51" s="198" t="s">
        <v>160</v>
      </c>
      <c r="E51" s="103">
        <v>6791.5</v>
      </c>
      <c r="F51" s="126">
        <v>15</v>
      </c>
      <c r="G51" s="141"/>
      <c r="H51" s="103"/>
      <c r="I51" s="144"/>
      <c r="J51" s="103"/>
      <c r="K51" s="103">
        <f t="shared" ref="K51:K53" si="36">E51-I51</f>
        <v>6791.5</v>
      </c>
      <c r="L51" s="103"/>
      <c r="M51" s="103"/>
      <c r="N51" s="103">
        <v>812.45</v>
      </c>
      <c r="O51" s="103">
        <v>0.05</v>
      </c>
      <c r="P51" s="156"/>
      <c r="Q51" s="103">
        <f t="shared" ref="Q51:Q53" si="37">SUM(N51:P51)+G51</f>
        <v>812.5</v>
      </c>
      <c r="R51" s="171">
        <f t="shared" ref="R51:R52" si="38">K51-Q51</f>
        <v>5979</v>
      </c>
      <c r="S51" s="170">
        <v>426.65999999999997</v>
      </c>
      <c r="T51" s="128"/>
      <c r="U51" s="157"/>
      <c r="V51" s="129">
        <f t="shared" si="35"/>
        <v>426.65999999999997</v>
      </c>
      <c r="X51" s="169"/>
    </row>
    <row r="52" spans="2:24" ht="31.5" x14ac:dyDescent="0.35">
      <c r="B52" s="158" t="s">
        <v>157</v>
      </c>
      <c r="C52" s="30" t="s">
        <v>168</v>
      </c>
      <c r="D52" s="198" t="s">
        <v>160</v>
      </c>
      <c r="E52" s="103">
        <v>6791.5</v>
      </c>
      <c r="F52" s="126">
        <v>15</v>
      </c>
      <c r="G52" s="141"/>
      <c r="H52" s="103"/>
      <c r="I52" s="144"/>
      <c r="J52" s="103"/>
      <c r="K52" s="103">
        <f t="shared" si="36"/>
        <v>6791.5</v>
      </c>
      <c r="L52" s="103"/>
      <c r="M52" s="103"/>
      <c r="N52" s="103">
        <v>812.45</v>
      </c>
      <c r="O52" s="103">
        <v>-0.15</v>
      </c>
      <c r="P52" s="156"/>
      <c r="Q52" s="103">
        <f t="shared" si="37"/>
        <v>812.30000000000007</v>
      </c>
      <c r="R52" s="171">
        <f t="shared" si="38"/>
        <v>5979.2</v>
      </c>
      <c r="S52" s="170">
        <v>426.65999999999997</v>
      </c>
      <c r="T52" s="128"/>
      <c r="U52" s="157"/>
      <c r="V52" s="129">
        <f t="shared" si="35"/>
        <v>426.65999999999997</v>
      </c>
      <c r="X52" s="169"/>
    </row>
    <row r="53" spans="2:24" ht="31.5" x14ac:dyDescent="0.35">
      <c r="B53" s="158" t="s">
        <v>158</v>
      </c>
      <c r="C53" s="30" t="s">
        <v>169</v>
      </c>
      <c r="D53" s="198" t="s">
        <v>160</v>
      </c>
      <c r="E53" s="103">
        <v>6791.5</v>
      </c>
      <c r="F53" s="126">
        <v>15</v>
      </c>
      <c r="G53" s="103"/>
      <c r="H53" s="103"/>
      <c r="I53" s="103"/>
      <c r="J53" s="103"/>
      <c r="K53" s="103">
        <f t="shared" si="36"/>
        <v>6791.5</v>
      </c>
      <c r="L53" s="103"/>
      <c r="M53" s="103"/>
      <c r="N53" s="103">
        <v>812.45</v>
      </c>
      <c r="O53" s="103">
        <v>-0.15</v>
      </c>
      <c r="P53" s="156"/>
      <c r="Q53" s="103">
        <f t="shared" si="37"/>
        <v>812.30000000000007</v>
      </c>
      <c r="R53" s="171">
        <f>K53-Q53</f>
        <v>5979.2</v>
      </c>
      <c r="S53" s="170">
        <v>426.65999999999997</v>
      </c>
      <c r="T53" s="128"/>
      <c r="U53" s="157"/>
      <c r="V53" s="129">
        <f t="shared" si="35"/>
        <v>426.65999999999997</v>
      </c>
      <c r="X53" s="169"/>
    </row>
    <row r="54" spans="2:24" ht="18.75" x14ac:dyDescent="0.3">
      <c r="B54" s="138" t="s">
        <v>20</v>
      </c>
      <c r="C54" s="132"/>
      <c r="D54" s="133"/>
      <c r="E54" s="135">
        <f>SUM(E48:E53)</f>
        <v>41819.9</v>
      </c>
      <c r="F54" s="135"/>
      <c r="G54" s="135">
        <f>SUM(G48:G53)</f>
        <v>1171.28</v>
      </c>
      <c r="H54" s="135">
        <f t="shared" ref="H54:V54" si="39">SUM(H48:H53)</f>
        <v>0</v>
      </c>
      <c r="I54" s="135">
        <f t="shared" si="39"/>
        <v>0</v>
      </c>
      <c r="J54" s="135">
        <f t="shared" si="39"/>
        <v>0</v>
      </c>
      <c r="K54" s="135">
        <f>SUM(K48:K53)</f>
        <v>41819.9</v>
      </c>
      <c r="L54" s="135">
        <f t="shared" si="39"/>
        <v>0</v>
      </c>
      <c r="M54" s="135">
        <f>SUM(M48:M53)</f>
        <v>0</v>
      </c>
      <c r="N54" s="135">
        <f>SUM(N48:N53)</f>
        <v>5103.4299999999994</v>
      </c>
      <c r="O54" s="135">
        <f t="shared" si="39"/>
        <v>-0.22999999999999998</v>
      </c>
      <c r="P54" s="135">
        <f t="shared" si="39"/>
        <v>2466.2200000000003</v>
      </c>
      <c r="Q54" s="135">
        <f t="shared" si="39"/>
        <v>8740.7000000000007</v>
      </c>
      <c r="R54" s="135">
        <f t="shared" si="39"/>
        <v>33079.200000000004</v>
      </c>
      <c r="S54" s="135">
        <f>SUM(S48:S53)</f>
        <v>2592.8899999999994</v>
      </c>
      <c r="T54" s="135">
        <f t="shared" si="39"/>
        <v>4396.3</v>
      </c>
      <c r="U54" s="135">
        <f t="shared" si="39"/>
        <v>428.91999999999996</v>
      </c>
      <c r="V54" s="135">
        <f t="shared" si="39"/>
        <v>7418.1099999999988</v>
      </c>
      <c r="X54" s="169"/>
    </row>
    <row r="55" spans="2:24" ht="18.75" hidden="1" x14ac:dyDescent="0.3">
      <c r="B55" s="138"/>
      <c r="C55" s="136"/>
      <c r="E55" s="103"/>
      <c r="F55" s="103"/>
      <c r="G55" s="103"/>
      <c r="H55" s="103"/>
      <c r="I55" s="103"/>
      <c r="J55" s="103"/>
      <c r="K55" s="146"/>
      <c r="L55" s="146"/>
      <c r="M55" s="146"/>
      <c r="N55" s="146"/>
      <c r="O55" s="146"/>
      <c r="P55" s="146"/>
      <c r="Q55" s="146"/>
      <c r="R55" s="147"/>
      <c r="S55" s="148"/>
      <c r="T55" s="148"/>
      <c r="U55" s="148"/>
      <c r="V55" s="148"/>
      <c r="X55" s="169"/>
    </row>
    <row r="56" spans="2:24" ht="18.75" x14ac:dyDescent="0.3">
      <c r="B56" s="138" t="s">
        <v>84</v>
      </c>
      <c r="C56" s="31" t="s">
        <v>85</v>
      </c>
      <c r="E56" s="103"/>
      <c r="F56" s="103"/>
      <c r="G56" s="103"/>
      <c r="H56" s="103"/>
      <c r="I56" s="103"/>
      <c r="J56" s="103"/>
      <c r="K56" s="146"/>
      <c r="L56" s="146"/>
      <c r="M56" s="146"/>
      <c r="N56" s="146"/>
      <c r="O56" s="146"/>
      <c r="P56" s="146"/>
      <c r="Q56" s="146"/>
      <c r="R56" s="147"/>
      <c r="S56" s="148"/>
      <c r="T56" s="148"/>
      <c r="U56" s="148"/>
      <c r="V56" s="148"/>
      <c r="X56" s="169"/>
    </row>
    <row r="57" spans="2:24" ht="21" x14ac:dyDescent="0.35">
      <c r="B57" s="102" t="s">
        <v>86</v>
      </c>
      <c r="C57" s="125" t="s">
        <v>30</v>
      </c>
      <c r="D57" s="102" t="s">
        <v>114</v>
      </c>
      <c r="E57" s="103">
        <v>13000</v>
      </c>
      <c r="F57" s="126">
        <v>15</v>
      </c>
      <c r="G57" s="127">
        <v>6297.95</v>
      </c>
      <c r="H57" s="103"/>
      <c r="I57" s="103"/>
      <c r="J57" s="103"/>
      <c r="K57" s="103">
        <f>E57-I57</f>
        <v>13000</v>
      </c>
      <c r="L57" s="103">
        <v>0</v>
      </c>
      <c r="M57" s="103"/>
      <c r="N57" s="103">
        <v>2161.23</v>
      </c>
      <c r="O57" s="103">
        <v>0.02</v>
      </c>
      <c r="P57" s="156">
        <f>ROUND(E57*0.115,2)</f>
        <v>1495</v>
      </c>
      <c r="Q57" s="103">
        <f>SUM(N57:P57)+G57</f>
        <v>9954.2000000000007</v>
      </c>
      <c r="R57" s="171">
        <f>K57-Q57</f>
        <v>3045.7999999999993</v>
      </c>
      <c r="S57" s="29">
        <v>617.63</v>
      </c>
      <c r="T57" s="128">
        <f t="shared" ref="T57" si="40">ROUND(+E57*17.5%,2)+ROUND(E57*3%,2)</f>
        <v>2665</v>
      </c>
      <c r="U57" s="157">
        <f>ROUND(+E57*2%,2)</f>
        <v>260</v>
      </c>
      <c r="V57" s="129">
        <f t="shared" ref="V57" si="41">SUM(S57:U57)</f>
        <v>3542.63</v>
      </c>
      <c r="X57" s="169"/>
    </row>
    <row r="58" spans="2:24" ht="18.75" x14ac:dyDescent="0.3">
      <c r="B58" s="138" t="s">
        <v>20</v>
      </c>
      <c r="E58" s="135">
        <f>E57</f>
        <v>13000</v>
      </c>
      <c r="F58" s="135"/>
      <c r="G58" s="135">
        <f>+G57</f>
        <v>6297.95</v>
      </c>
      <c r="H58" s="135"/>
      <c r="I58" s="135">
        <f>I57</f>
        <v>0</v>
      </c>
      <c r="J58" s="135">
        <f>J57</f>
        <v>0</v>
      </c>
      <c r="K58" s="135">
        <f>K57</f>
        <v>13000</v>
      </c>
      <c r="L58" s="135">
        <f t="shared" ref="L58:V58" si="42">L57</f>
        <v>0</v>
      </c>
      <c r="M58" s="135">
        <f t="shared" si="42"/>
        <v>0</v>
      </c>
      <c r="N58" s="135">
        <f>N57</f>
        <v>2161.23</v>
      </c>
      <c r="O58" s="135">
        <f t="shared" si="42"/>
        <v>0.02</v>
      </c>
      <c r="P58" s="135">
        <f>P57</f>
        <v>1495</v>
      </c>
      <c r="Q58" s="135">
        <f t="shared" si="42"/>
        <v>9954.2000000000007</v>
      </c>
      <c r="R58" s="135">
        <f>R57</f>
        <v>3045.7999999999993</v>
      </c>
      <c r="S58" s="135">
        <f>S57</f>
        <v>617.63</v>
      </c>
      <c r="T58" s="135">
        <f t="shared" si="42"/>
        <v>2665</v>
      </c>
      <c r="U58" s="135">
        <f>U57</f>
        <v>260</v>
      </c>
      <c r="V58" s="135">
        <f t="shared" si="42"/>
        <v>3542.63</v>
      </c>
      <c r="X58" s="169"/>
    </row>
    <row r="59" spans="2:24" ht="12" customHeight="1" x14ac:dyDescent="0.3">
      <c r="B59" s="138"/>
      <c r="E59" s="103"/>
      <c r="F59" s="103"/>
      <c r="G59" s="103"/>
      <c r="H59" s="103"/>
      <c r="I59" s="103"/>
      <c r="J59" s="103"/>
      <c r="K59" s="146"/>
      <c r="L59" s="146"/>
      <c r="M59" s="146"/>
      <c r="N59" s="146"/>
      <c r="O59" s="146"/>
      <c r="P59" s="146"/>
      <c r="Q59" s="146"/>
      <c r="R59" s="147"/>
      <c r="S59" s="148"/>
      <c r="T59" s="148"/>
      <c r="U59" s="148"/>
      <c r="V59" s="148"/>
    </row>
    <row r="60" spans="2:24" ht="18.75" hidden="1" x14ac:dyDescent="0.3">
      <c r="R60" s="149"/>
    </row>
    <row r="61" spans="2:24" ht="18.75" x14ac:dyDescent="0.3">
      <c r="C61" s="150" t="s">
        <v>56</v>
      </c>
      <c r="E61" s="151">
        <f>E9+E20+E27+E45+E54+E58</f>
        <v>260544.66</v>
      </c>
      <c r="F61" s="151"/>
      <c r="G61" s="152">
        <f>G9+G20+G27+G45+G54+G58</f>
        <v>26313.79</v>
      </c>
      <c r="H61" s="151"/>
      <c r="I61" s="151">
        <f t="shared" ref="I61:V61" si="43">I9+I20+I27+I45+I54+I58</f>
        <v>0</v>
      </c>
      <c r="J61" s="151">
        <f t="shared" si="43"/>
        <v>0</v>
      </c>
      <c r="K61" s="151">
        <f>K9+K20+K27+K45+K54+K58</f>
        <v>260544.66</v>
      </c>
      <c r="L61" s="151">
        <f t="shared" si="43"/>
        <v>0</v>
      </c>
      <c r="M61" s="151">
        <f t="shared" si="43"/>
        <v>0</v>
      </c>
      <c r="N61" s="151">
        <f t="shared" si="43"/>
        <v>33733.659999999996</v>
      </c>
      <c r="O61" s="151">
        <f t="shared" si="43"/>
        <v>-0.38</v>
      </c>
      <c r="P61" s="152">
        <f>P9+P20+P27+P45+P54+P58</f>
        <v>24399.170000000002</v>
      </c>
      <c r="Q61" s="151">
        <f t="shared" si="43"/>
        <v>84446.28</v>
      </c>
      <c r="R61" s="153">
        <f t="shared" si="43"/>
        <v>176098.38</v>
      </c>
      <c r="S61" s="151">
        <f>S9+S20+S27+S45+S54+S58</f>
        <v>16081.01</v>
      </c>
      <c r="T61" s="151">
        <f>T58+T54+T45+T27+T20+T9</f>
        <v>43494.152475000003</v>
      </c>
      <c r="U61" s="152">
        <f>U9+U20+U27+U45+U54+U58</f>
        <v>4243.43</v>
      </c>
      <c r="V61" s="154">
        <f t="shared" si="43"/>
        <v>63818.592475000005</v>
      </c>
    </row>
    <row r="62" spans="2:24" ht="18.75" x14ac:dyDescent="0.3">
      <c r="S62" s="151"/>
      <c r="T62" s="151"/>
    </row>
    <row r="63" spans="2:24" x14ac:dyDescent="0.25">
      <c r="T63" s="103"/>
      <c r="X63" s="169"/>
    </row>
    <row r="65" spans="3:20" x14ac:dyDescent="0.25">
      <c r="I65" s="169"/>
    </row>
    <row r="70" spans="3:20" ht="16.5" thickBot="1" x14ac:dyDescent="0.3">
      <c r="E70" s="293"/>
      <c r="F70" s="293"/>
      <c r="G70" s="209"/>
      <c r="H70" s="209"/>
      <c r="P70" s="294"/>
      <c r="Q70" s="294"/>
    </row>
    <row r="71" spans="3:20" ht="15" x14ac:dyDescent="0.25">
      <c r="E71" s="295" t="s">
        <v>91</v>
      </c>
      <c r="F71" s="295"/>
      <c r="G71" s="210"/>
      <c r="H71" s="210"/>
      <c r="P71" s="155"/>
      <c r="Q71" s="155"/>
      <c r="R71" s="296" t="s">
        <v>82</v>
      </c>
      <c r="S71" s="296"/>
      <c r="T71" s="209"/>
    </row>
    <row r="75" spans="3:20" x14ac:dyDescent="0.25">
      <c r="C75" s="102" t="s">
        <v>90</v>
      </c>
    </row>
  </sheetData>
  <mergeCells count="5">
    <mergeCell ref="B4:V4"/>
    <mergeCell ref="E70:F70"/>
    <mergeCell ref="P70:Q70"/>
    <mergeCell ref="E71:F71"/>
    <mergeCell ref="R71:S71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45A7-0DF8-4592-8F12-2B20AC50705C}">
  <sheetPr>
    <pageSetUpPr fitToPage="1"/>
  </sheetPr>
  <dimension ref="B3:X75"/>
  <sheetViews>
    <sheetView topLeftCell="C26" zoomScale="85" zoomScaleNormal="85" workbookViewId="0">
      <selection activeCell="C7" sqref="C7:C8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5.85546875" style="102" bestFit="1" customWidth="1"/>
    <col min="8" max="8" width="14.140625" style="102" hidden="1" customWidth="1"/>
    <col min="9" max="9" width="13.28515625" style="102" customWidth="1"/>
    <col min="10" max="10" width="13.28515625" style="102" hidden="1" customWidth="1"/>
    <col min="11" max="11" width="15.85546875" style="102" bestFit="1" customWidth="1"/>
    <col min="12" max="12" width="9.42578125" style="102" hidden="1" customWidth="1"/>
    <col min="13" max="13" width="14.42578125" style="102" hidden="1" customWidth="1"/>
    <col min="14" max="14" width="15.85546875" style="102" bestFit="1" customWidth="1"/>
    <col min="15" max="15" width="11.140625" style="102" bestFit="1" customWidth="1"/>
    <col min="16" max="16" width="14.42578125" style="102" bestFit="1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4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4" ht="16.5" customHeight="1" x14ac:dyDescent="0.25">
      <c r="B4" s="291" t="s">
        <v>176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4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2" t="s">
        <v>148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4" x14ac:dyDescent="0.25">
      <c r="B6" s="121" t="s">
        <v>13</v>
      </c>
      <c r="C6" s="5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4" ht="21" x14ac:dyDescent="0.35">
      <c r="B7" s="102" t="s">
        <v>15</v>
      </c>
      <c r="C7" s="125" t="s">
        <v>16</v>
      </c>
      <c r="D7" s="102" t="s">
        <v>19</v>
      </c>
      <c r="E7" s="103">
        <v>19461.365000000002</v>
      </c>
      <c r="F7" s="126">
        <v>15</v>
      </c>
      <c r="G7" s="141"/>
      <c r="H7" s="103"/>
      <c r="I7" s="103"/>
      <c r="J7" s="103"/>
      <c r="K7" s="103">
        <f>E7-I7</f>
        <v>19461.365000000002</v>
      </c>
      <c r="L7" s="103">
        <v>0</v>
      </c>
      <c r="M7" s="103"/>
      <c r="N7" s="103">
        <v>3721.35</v>
      </c>
      <c r="O7" s="103">
        <v>-0.04</v>
      </c>
      <c r="P7" s="156">
        <f>ROUND(E7*0.115,2)</f>
        <v>2238.06</v>
      </c>
      <c r="Q7" s="103">
        <f>SUM(N7:P7)+G7</f>
        <v>5959.37</v>
      </c>
      <c r="R7" s="171">
        <f>K7-Q7</f>
        <v>13501.995000000003</v>
      </c>
      <c r="S7" s="29">
        <v>790.02500000000009</v>
      </c>
      <c r="T7" s="128">
        <f>+E7*17.5%+E7*3%</f>
        <v>3989.5798249999998</v>
      </c>
      <c r="U7" s="157">
        <f>ROUND(+E7*2%,2)</f>
        <v>389.23</v>
      </c>
      <c r="V7" s="129">
        <f>SUM(S7:U7)</f>
        <v>5168.8348249999999</v>
      </c>
      <c r="X7" s="169"/>
    </row>
    <row r="8" spans="2:24" ht="21" x14ac:dyDescent="0.35">
      <c r="B8" s="102" t="s">
        <v>17</v>
      </c>
      <c r="C8" s="125" t="s">
        <v>18</v>
      </c>
      <c r="D8" s="102" t="s">
        <v>2</v>
      </c>
      <c r="E8" s="103">
        <v>6247.33</v>
      </c>
      <c r="F8" s="126">
        <v>15</v>
      </c>
      <c r="G8" s="178">
        <v>1000</v>
      </c>
      <c r="H8" s="103"/>
      <c r="I8" s="130"/>
      <c r="J8" s="103"/>
      <c r="K8" s="103">
        <f>E8-I8</f>
        <v>6247.33</v>
      </c>
      <c r="L8" s="103">
        <v>0</v>
      </c>
      <c r="M8" s="103"/>
      <c r="N8" s="103">
        <v>696.21</v>
      </c>
      <c r="O8" s="103">
        <v>0.08</v>
      </c>
      <c r="P8" s="156">
        <f>ROUND(E8*0.115,2)</f>
        <v>718.44</v>
      </c>
      <c r="Q8" s="103">
        <f>SUM(N8:P8)+G8</f>
        <v>2414.73</v>
      </c>
      <c r="R8" s="171">
        <f>K8-Q8</f>
        <v>3832.6</v>
      </c>
      <c r="S8" s="29">
        <v>396.69499999999999</v>
      </c>
      <c r="T8" s="128">
        <f>+E8*17.5%+E8*3%</f>
        <v>1280.7026499999997</v>
      </c>
      <c r="U8" s="157">
        <f>ROUND(+E8*2%,2)</f>
        <v>124.95</v>
      </c>
      <c r="V8" s="129">
        <f>SUM(S8:U8)</f>
        <v>1802.3476499999997</v>
      </c>
      <c r="X8" s="169"/>
    </row>
    <row r="9" spans="2:24" ht="18.75" x14ac:dyDescent="0.3">
      <c r="B9" s="131" t="s">
        <v>20</v>
      </c>
      <c r="C9" s="132"/>
      <c r="D9" s="133"/>
      <c r="E9" s="135">
        <f>SUM(E7:E8)</f>
        <v>25708.695</v>
      </c>
      <c r="F9" s="135"/>
      <c r="G9" s="135">
        <f>+G8+G7</f>
        <v>1000</v>
      </c>
      <c r="H9" s="135"/>
      <c r="I9" s="135">
        <f t="shared" ref="I9:V9" si="0">SUM(I7:I8)</f>
        <v>0</v>
      </c>
      <c r="J9" s="135">
        <f t="shared" si="0"/>
        <v>0</v>
      </c>
      <c r="K9" s="135">
        <f>SUM(K7:K8)</f>
        <v>25708.695</v>
      </c>
      <c r="L9" s="135">
        <f t="shared" si="0"/>
        <v>0</v>
      </c>
      <c r="M9" s="135">
        <f>SUM(M7:M8)</f>
        <v>0</v>
      </c>
      <c r="N9" s="135">
        <f>SUM(N7:N8)</f>
        <v>4417.5599999999995</v>
      </c>
      <c r="O9" s="135">
        <f t="shared" si="0"/>
        <v>0.04</v>
      </c>
      <c r="P9" s="135">
        <f>SUM(P7:P8)</f>
        <v>2956.5</v>
      </c>
      <c r="Q9" s="135">
        <f t="shared" si="0"/>
        <v>8374.1</v>
      </c>
      <c r="R9" s="135">
        <f>ROUND(SUM(R7:R8),1)</f>
        <v>17334.599999999999</v>
      </c>
      <c r="S9" s="135">
        <f>SUM(S7:S8)</f>
        <v>1186.72</v>
      </c>
      <c r="T9" s="135">
        <f t="shared" si="0"/>
        <v>5270.282475</v>
      </c>
      <c r="U9" s="135">
        <f>SUM(U7:U8)</f>
        <v>514.18000000000006</v>
      </c>
      <c r="V9" s="135">
        <f t="shared" si="0"/>
        <v>6971.1824749999996</v>
      </c>
      <c r="X9" s="169"/>
    </row>
    <row r="10" spans="2:24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4" ht="18.75" x14ac:dyDescent="0.3">
      <c r="B11" s="138" t="s">
        <v>21</v>
      </c>
      <c r="C11" s="31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4" ht="21" x14ac:dyDescent="0.35">
      <c r="B12" s="102" t="s">
        <v>23</v>
      </c>
      <c r="C12" s="125" t="s">
        <v>28</v>
      </c>
      <c r="D12" s="102" t="s">
        <v>114</v>
      </c>
      <c r="E12" s="103">
        <v>13000</v>
      </c>
      <c r="F12" s="126">
        <v>15</v>
      </c>
      <c r="G12" s="178">
        <v>3394</v>
      </c>
      <c r="H12" s="103"/>
      <c r="I12" s="103"/>
      <c r="J12" s="103"/>
      <c r="K12" s="103">
        <f t="shared" ref="K12:K18" si="1">E12-I12</f>
        <v>13000</v>
      </c>
      <c r="L12" s="103">
        <v>0</v>
      </c>
      <c r="M12" s="103"/>
      <c r="N12" s="103">
        <v>2161.23</v>
      </c>
      <c r="O12" s="103">
        <v>-0.03</v>
      </c>
      <c r="P12" s="156">
        <f t="shared" ref="P12:P19" si="2">ROUND(E12*0.115,2)</f>
        <v>1495</v>
      </c>
      <c r="Q12" s="103">
        <f t="shared" ref="Q12:Q19" si="3">SUM(N12:P12)+G12</f>
        <v>7050.2</v>
      </c>
      <c r="R12" s="171">
        <f t="shared" ref="R12:R19" si="4">K12-Q12</f>
        <v>5949.8</v>
      </c>
      <c r="S12" s="29">
        <v>597.69499999999994</v>
      </c>
      <c r="T12" s="128">
        <f>ROUND(+E12*17.5%,2)+ROUND(E12*3%,2)</f>
        <v>2665</v>
      </c>
      <c r="U12" s="157">
        <f t="shared" ref="U12:U19" si="5">ROUND(+E12*2%,2)</f>
        <v>260</v>
      </c>
      <c r="V12" s="129">
        <f t="shared" ref="V12:V19" si="6">SUM(S12:U12)</f>
        <v>3522.6949999999997</v>
      </c>
      <c r="X12" s="169"/>
    </row>
    <row r="13" spans="2:24" ht="21" x14ac:dyDescent="0.35">
      <c r="B13" s="102" t="s">
        <v>24</v>
      </c>
      <c r="C13" s="125" t="s">
        <v>29</v>
      </c>
      <c r="D13" s="102" t="s">
        <v>116</v>
      </c>
      <c r="E13" s="103">
        <v>7000.8</v>
      </c>
      <c r="F13" s="126">
        <v>15</v>
      </c>
      <c r="G13" s="178">
        <v>2129.5700000000002</v>
      </c>
      <c r="H13" s="103"/>
      <c r="I13" s="139"/>
      <c r="J13" s="140"/>
      <c r="K13" s="103">
        <f>E13-I13</f>
        <v>7000.8</v>
      </c>
      <c r="L13" s="103">
        <v>0</v>
      </c>
      <c r="M13" s="103"/>
      <c r="N13" s="103">
        <v>857.15</v>
      </c>
      <c r="O13" s="103">
        <v>-0.01</v>
      </c>
      <c r="P13" s="156">
        <f t="shared" si="2"/>
        <v>805.09</v>
      </c>
      <c r="Q13" s="103">
        <f t="shared" si="3"/>
        <v>3791.8</v>
      </c>
      <c r="R13" s="171">
        <f t="shared" si="4"/>
        <v>3209</v>
      </c>
      <c r="S13" s="29">
        <v>419.125</v>
      </c>
      <c r="T13" s="128">
        <f t="shared" ref="T13:T19" si="7">ROUND(+E13*17.5%,2)+ROUND(E13*3%,2)</f>
        <v>1435.16</v>
      </c>
      <c r="U13" s="157">
        <f t="shared" si="5"/>
        <v>140.02000000000001</v>
      </c>
      <c r="V13" s="129">
        <f t="shared" si="6"/>
        <v>1994.3050000000001</v>
      </c>
      <c r="X13" s="169"/>
    </row>
    <row r="14" spans="2:24" ht="21" x14ac:dyDescent="0.35">
      <c r="B14" s="102" t="s">
        <v>25</v>
      </c>
      <c r="C14" s="30" t="s">
        <v>174</v>
      </c>
      <c r="D14" s="102" t="s">
        <v>115</v>
      </c>
      <c r="E14" s="103">
        <v>7000.8</v>
      </c>
      <c r="F14" s="126">
        <v>15</v>
      </c>
      <c r="G14" s="178">
        <v>1330.99</v>
      </c>
      <c r="H14" s="141"/>
      <c r="I14" s="139"/>
      <c r="J14" s="140"/>
      <c r="K14" s="103">
        <f>E14-I14</f>
        <v>7000.8</v>
      </c>
      <c r="L14" s="103">
        <v>0</v>
      </c>
      <c r="M14" s="103"/>
      <c r="N14" s="103">
        <v>857.15</v>
      </c>
      <c r="O14" s="103">
        <v>-0.03</v>
      </c>
      <c r="P14" s="156">
        <f>ROUND(E14*0.115,2)</f>
        <v>805.09</v>
      </c>
      <c r="Q14" s="103">
        <f>SUM(N14:P14)+G14</f>
        <v>2993.2</v>
      </c>
      <c r="R14" s="171">
        <f>K14-Q14</f>
        <v>4007.6000000000004</v>
      </c>
      <c r="S14" s="29">
        <v>419.125</v>
      </c>
      <c r="T14" s="128">
        <f t="shared" si="7"/>
        <v>1435.16</v>
      </c>
      <c r="U14" s="157">
        <f t="shared" si="5"/>
        <v>140.02000000000001</v>
      </c>
      <c r="V14" s="129">
        <f t="shared" si="6"/>
        <v>1994.3050000000001</v>
      </c>
      <c r="X14" s="169"/>
    </row>
    <row r="15" spans="2:24" ht="21" x14ac:dyDescent="0.35">
      <c r="B15" s="102" t="s">
        <v>26</v>
      </c>
      <c r="C15" s="125" t="s">
        <v>58</v>
      </c>
      <c r="D15" s="102" t="s">
        <v>37</v>
      </c>
      <c r="E15" s="103">
        <v>7443.8</v>
      </c>
      <c r="F15" s="126">
        <v>14</v>
      </c>
      <c r="G15" s="103"/>
      <c r="H15" s="103"/>
      <c r="I15" s="139">
        <v>496.25</v>
      </c>
      <c r="J15" s="103"/>
      <c r="K15" s="103">
        <f t="shared" si="1"/>
        <v>6947.55</v>
      </c>
      <c r="L15" s="103">
        <v>0</v>
      </c>
      <c r="M15" s="103"/>
      <c r="N15" s="103">
        <v>951.78</v>
      </c>
      <c r="O15" s="103">
        <v>-7.0000000000000007E-2</v>
      </c>
      <c r="P15" s="156">
        <f t="shared" si="2"/>
        <v>856.04</v>
      </c>
      <c r="Q15" s="103">
        <f t="shared" si="3"/>
        <v>1807.75</v>
      </c>
      <c r="R15" s="171">
        <f t="shared" si="4"/>
        <v>5139.8</v>
      </c>
      <c r="S15" s="29">
        <v>432.30499999999995</v>
      </c>
      <c r="T15" s="128">
        <f t="shared" si="7"/>
        <v>1525.98</v>
      </c>
      <c r="U15" s="157">
        <f t="shared" si="5"/>
        <v>148.88</v>
      </c>
      <c r="V15" s="129">
        <f t="shared" si="6"/>
        <v>2107.165</v>
      </c>
      <c r="X15" s="169"/>
    </row>
    <row r="16" spans="2:24" ht="21" x14ac:dyDescent="0.35">
      <c r="B16" s="102" t="s">
        <v>27</v>
      </c>
      <c r="C16" s="125" t="s">
        <v>40</v>
      </c>
      <c r="D16" s="102" t="s">
        <v>117</v>
      </c>
      <c r="E16" s="103">
        <v>4918.3649999999998</v>
      </c>
      <c r="F16" s="126">
        <v>15</v>
      </c>
      <c r="G16" s="178">
        <v>2050</v>
      </c>
      <c r="H16" s="103"/>
      <c r="I16" s="139"/>
      <c r="J16" s="103"/>
      <c r="K16" s="103">
        <f>E16-I16</f>
        <v>4918.3649999999998</v>
      </c>
      <c r="L16" s="103">
        <v>0</v>
      </c>
      <c r="M16" s="103"/>
      <c r="N16" s="103">
        <v>447.61</v>
      </c>
      <c r="O16" s="103">
        <v>-0.05</v>
      </c>
      <c r="P16" s="156">
        <f>ROUND(E16*0.115,2)</f>
        <v>565.61</v>
      </c>
      <c r="Q16" s="103">
        <f>SUM(N16:P16)+G16</f>
        <v>3063.17</v>
      </c>
      <c r="R16" s="171">
        <f t="shared" si="4"/>
        <v>1855.1949999999997</v>
      </c>
      <c r="S16" s="29">
        <v>361.11500000000001</v>
      </c>
      <c r="T16" s="128">
        <f t="shared" si="7"/>
        <v>1008.26</v>
      </c>
      <c r="U16" s="157">
        <f t="shared" si="5"/>
        <v>98.37</v>
      </c>
      <c r="V16" s="129">
        <f t="shared" si="6"/>
        <v>1467.7449999999999</v>
      </c>
      <c r="X16" s="169"/>
    </row>
    <row r="17" spans="2:24" ht="21" x14ac:dyDescent="0.35">
      <c r="B17" s="102" t="s">
        <v>60</v>
      </c>
      <c r="C17" s="125" t="s">
        <v>41</v>
      </c>
      <c r="D17" s="102" t="s">
        <v>118</v>
      </c>
      <c r="E17" s="103">
        <v>4918.3649999999998</v>
      </c>
      <c r="F17" s="126">
        <v>15</v>
      </c>
      <c r="G17" s="178">
        <v>1676.62</v>
      </c>
      <c r="H17" s="103"/>
      <c r="I17" s="139"/>
      <c r="J17" s="103"/>
      <c r="K17" s="103">
        <f>E17-I17</f>
        <v>4918.3649999999998</v>
      </c>
      <c r="L17" s="103">
        <v>0</v>
      </c>
      <c r="M17" s="103"/>
      <c r="N17" s="103">
        <v>447.61</v>
      </c>
      <c r="O17" s="103">
        <v>0.13</v>
      </c>
      <c r="P17" s="156">
        <f t="shared" si="2"/>
        <v>565.61</v>
      </c>
      <c r="Q17" s="103">
        <f>SUM(N17:P17)+G17</f>
        <v>2689.97</v>
      </c>
      <c r="R17" s="171">
        <f>K17-Q17</f>
        <v>2228.395</v>
      </c>
      <c r="S17" s="29">
        <v>361.11500000000001</v>
      </c>
      <c r="T17" s="128">
        <f t="shared" si="7"/>
        <v>1008.26</v>
      </c>
      <c r="U17" s="157">
        <f t="shared" si="5"/>
        <v>98.37</v>
      </c>
      <c r="V17" s="129">
        <f t="shared" si="6"/>
        <v>1467.7449999999999</v>
      </c>
      <c r="X17" s="169"/>
    </row>
    <row r="18" spans="2:24" ht="21" x14ac:dyDescent="0.35">
      <c r="B18" s="102" t="s">
        <v>61</v>
      </c>
      <c r="C18" s="125" t="s">
        <v>43</v>
      </c>
      <c r="D18" s="102" t="s">
        <v>3</v>
      </c>
      <c r="E18" s="103">
        <v>4358.17</v>
      </c>
      <c r="F18" s="126">
        <v>15</v>
      </c>
      <c r="G18" s="178">
        <v>1211</v>
      </c>
      <c r="H18" s="103"/>
      <c r="I18" s="103"/>
      <c r="J18" s="103"/>
      <c r="K18" s="103">
        <f t="shared" si="1"/>
        <v>4358.17</v>
      </c>
      <c r="L18" s="103"/>
      <c r="M18" s="103"/>
      <c r="N18" s="103">
        <v>357.97</v>
      </c>
      <c r="O18" s="103">
        <v>0.01</v>
      </c>
      <c r="P18" s="156">
        <f t="shared" si="2"/>
        <v>501.19</v>
      </c>
      <c r="Q18" s="103">
        <f t="shared" si="3"/>
        <v>2070.17</v>
      </c>
      <c r="R18" s="171">
        <f t="shared" si="4"/>
        <v>2288</v>
      </c>
      <c r="S18" s="29">
        <v>340.45000000000005</v>
      </c>
      <c r="T18" s="128">
        <f t="shared" si="7"/>
        <v>893.43</v>
      </c>
      <c r="U18" s="157">
        <f t="shared" si="5"/>
        <v>87.16</v>
      </c>
      <c r="V18" s="129">
        <f t="shared" si="6"/>
        <v>1321.0400000000002</v>
      </c>
      <c r="X18" s="169"/>
    </row>
    <row r="19" spans="2:24" ht="21" x14ac:dyDescent="0.35">
      <c r="B19" s="102" t="s">
        <v>62</v>
      </c>
      <c r="C19" s="125" t="s">
        <v>42</v>
      </c>
      <c r="D19" s="102" t="s">
        <v>119</v>
      </c>
      <c r="E19" s="103">
        <v>4918.3649999999998</v>
      </c>
      <c r="F19" s="126">
        <v>15</v>
      </c>
      <c r="G19" s="178">
        <v>1213.4000000000001</v>
      </c>
      <c r="H19" s="130"/>
      <c r="I19" s="139"/>
      <c r="J19" s="103"/>
      <c r="K19" s="103">
        <f>E19-I19+H19</f>
        <v>4918.3649999999998</v>
      </c>
      <c r="L19" s="103"/>
      <c r="M19" s="103"/>
      <c r="N19" s="103">
        <v>447.61</v>
      </c>
      <c r="O19" s="103">
        <v>-0.05</v>
      </c>
      <c r="P19" s="156">
        <f t="shared" si="2"/>
        <v>565.61</v>
      </c>
      <c r="Q19" s="103">
        <f t="shared" si="3"/>
        <v>2226.5700000000002</v>
      </c>
      <c r="R19" s="171">
        <f t="shared" si="4"/>
        <v>2691.7949999999996</v>
      </c>
      <c r="S19" s="29">
        <v>361.11500000000001</v>
      </c>
      <c r="T19" s="128">
        <f t="shared" si="7"/>
        <v>1008.26</v>
      </c>
      <c r="U19" s="157">
        <f t="shared" si="5"/>
        <v>98.37</v>
      </c>
      <c r="V19" s="129">
        <f t="shared" si="6"/>
        <v>1467.7449999999999</v>
      </c>
      <c r="X19" s="169"/>
    </row>
    <row r="20" spans="2:24" ht="18.75" x14ac:dyDescent="0.3">
      <c r="B20" s="138" t="s">
        <v>20</v>
      </c>
      <c r="C20" s="194"/>
      <c r="D20" s="133"/>
      <c r="E20" s="135">
        <f>SUM(E12:E19)</f>
        <v>53558.664999999994</v>
      </c>
      <c r="F20" s="135"/>
      <c r="G20" s="135">
        <f>+G19+G18+G17+G16+G12+G13+G14</f>
        <v>13005.58</v>
      </c>
      <c r="H20" s="135"/>
      <c r="I20" s="135">
        <f t="shared" ref="I20:V20" si="8">SUM(I12:I19)</f>
        <v>496.25</v>
      </c>
      <c r="J20" s="135">
        <f t="shared" si="8"/>
        <v>0</v>
      </c>
      <c r="K20" s="135">
        <f>SUM(K12:K19)</f>
        <v>53062.414999999994</v>
      </c>
      <c r="L20" s="135">
        <f t="shared" ref="L20" si="9">SUM(L12:L19)</f>
        <v>0</v>
      </c>
      <c r="M20" s="135">
        <f>SUM(M12:M19)</f>
        <v>0</v>
      </c>
      <c r="N20" s="135">
        <f>SUM(N12:N19)</f>
        <v>6528.11</v>
      </c>
      <c r="O20" s="135">
        <f t="shared" si="8"/>
        <v>-0.1</v>
      </c>
      <c r="P20" s="135">
        <f>SUM(P12:P19)</f>
        <v>6159.2399999999989</v>
      </c>
      <c r="Q20" s="135">
        <f t="shared" si="8"/>
        <v>25692.83</v>
      </c>
      <c r="R20" s="135">
        <f>ROUND(SUM(R12:R19),1)</f>
        <v>27369.599999999999</v>
      </c>
      <c r="S20" s="135">
        <f>SUM(S12:S19)</f>
        <v>3292.0449999999992</v>
      </c>
      <c r="T20" s="135">
        <f t="shared" si="8"/>
        <v>10979.51</v>
      </c>
      <c r="U20" s="135">
        <f>SUM(U12:U19)</f>
        <v>1071.19</v>
      </c>
      <c r="V20" s="135">
        <f t="shared" si="8"/>
        <v>15342.744999999999</v>
      </c>
      <c r="X20" s="169"/>
    </row>
    <row r="21" spans="2:24" ht="18.75" hidden="1" x14ac:dyDescent="0.3">
      <c r="B21" s="138"/>
      <c r="C21" s="136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37"/>
      <c r="X21" s="169"/>
    </row>
    <row r="22" spans="2:24" ht="18.75" x14ac:dyDescent="0.3">
      <c r="B22" s="138" t="s">
        <v>31</v>
      </c>
      <c r="C22" s="31" t="s">
        <v>83</v>
      </c>
      <c r="E22" s="103"/>
      <c r="F22" s="103"/>
      <c r="G22" s="103"/>
      <c r="H22" s="103"/>
      <c r="I22" s="103"/>
      <c r="J22" s="103"/>
      <c r="K22" s="142"/>
      <c r="L22" s="142"/>
      <c r="M22" s="103"/>
      <c r="N22" s="103"/>
      <c r="O22" s="103"/>
      <c r="P22" s="103"/>
      <c r="Q22" s="103"/>
      <c r="R22" s="137"/>
      <c r="X22" s="169"/>
    </row>
    <row r="23" spans="2:24" ht="21" x14ac:dyDescent="0.35">
      <c r="B23" s="102" t="s">
        <v>63</v>
      </c>
      <c r="C23" s="125" t="s">
        <v>110</v>
      </c>
      <c r="D23" s="158" t="s">
        <v>132</v>
      </c>
      <c r="E23" s="103">
        <v>7000.8</v>
      </c>
      <c r="F23" s="126">
        <v>15</v>
      </c>
      <c r="G23" s="103"/>
      <c r="H23" s="103"/>
      <c r="I23" s="103"/>
      <c r="J23" s="103"/>
      <c r="K23" s="103">
        <f>E23-I23</f>
        <v>7000.8</v>
      </c>
      <c r="L23" s="103">
        <v>0</v>
      </c>
      <c r="M23" s="103"/>
      <c r="N23" s="103">
        <v>857.15</v>
      </c>
      <c r="O23" s="103">
        <v>-0.04</v>
      </c>
      <c r="P23" s="156">
        <f>ROUND(E23*0.115,2)</f>
        <v>805.09</v>
      </c>
      <c r="Q23" s="103">
        <f t="shared" ref="Q23:Q24" si="10">SUM(N23:P23)+G23</f>
        <v>1662.2</v>
      </c>
      <c r="R23" s="171">
        <f>K23-Q23</f>
        <v>5338.6</v>
      </c>
      <c r="S23" s="170">
        <v>419.125</v>
      </c>
      <c r="T23" s="128">
        <f t="shared" ref="T23:T26" si="11">ROUND(+E23*17.5%,2)+ROUND(E23*3%,2)</f>
        <v>1435.16</v>
      </c>
      <c r="U23" s="157">
        <f t="shared" ref="U23:U26" si="12">ROUND(+E23*2%,2)</f>
        <v>140.02000000000001</v>
      </c>
      <c r="V23" s="129">
        <f t="shared" ref="V23:V24" si="13">SUM(S23:U23)</f>
        <v>1994.3050000000001</v>
      </c>
      <c r="X23" s="169"/>
    </row>
    <row r="24" spans="2:24" ht="21" x14ac:dyDescent="0.35">
      <c r="B24" s="102" t="s">
        <v>112</v>
      </c>
      <c r="C24" s="125" t="s">
        <v>113</v>
      </c>
      <c r="D24" s="158" t="s">
        <v>133</v>
      </c>
      <c r="E24" s="103">
        <v>7000.8</v>
      </c>
      <c r="F24" s="126">
        <v>14</v>
      </c>
      <c r="G24" s="103"/>
      <c r="H24" s="103"/>
      <c r="I24" s="139">
        <v>466.72</v>
      </c>
      <c r="J24" s="103"/>
      <c r="K24" s="103">
        <f>E24-I24</f>
        <v>6534.08</v>
      </c>
      <c r="L24" s="103">
        <v>0</v>
      </c>
      <c r="M24" s="103"/>
      <c r="N24" s="103">
        <v>857.15</v>
      </c>
      <c r="O24" s="103">
        <v>0.04</v>
      </c>
      <c r="P24" s="156">
        <f>ROUND(E24*0.115,2)</f>
        <v>805.09</v>
      </c>
      <c r="Q24" s="103">
        <f t="shared" si="10"/>
        <v>1662.28</v>
      </c>
      <c r="R24" s="171">
        <f>K24-Q24</f>
        <v>4871.8</v>
      </c>
      <c r="S24" s="170">
        <v>419.125</v>
      </c>
      <c r="T24" s="128">
        <f t="shared" si="11"/>
        <v>1435.16</v>
      </c>
      <c r="U24" s="157">
        <f t="shared" si="12"/>
        <v>140.02000000000001</v>
      </c>
      <c r="V24" s="129">
        <f t="shared" si="13"/>
        <v>1994.3050000000001</v>
      </c>
      <c r="X24" s="169"/>
    </row>
    <row r="25" spans="2:24" ht="21" x14ac:dyDescent="0.35">
      <c r="B25" s="102" t="s">
        <v>64</v>
      </c>
      <c r="C25" s="125" t="s">
        <v>45</v>
      </c>
      <c r="D25" s="102" t="s">
        <v>122</v>
      </c>
      <c r="E25" s="103">
        <v>7000.8</v>
      </c>
      <c r="F25" s="126">
        <v>15</v>
      </c>
      <c r="G25" s="141"/>
      <c r="H25" s="103"/>
      <c r="I25" s="143"/>
      <c r="J25" s="103"/>
      <c r="K25" s="103">
        <f>E25-I25</f>
        <v>7000.8</v>
      </c>
      <c r="L25" s="103">
        <v>0</v>
      </c>
      <c r="M25" s="103"/>
      <c r="N25" s="103">
        <v>857.15</v>
      </c>
      <c r="O25" s="103">
        <v>-0.04</v>
      </c>
      <c r="P25" s="156">
        <f>ROUND(E25*0.115,2)</f>
        <v>805.09</v>
      </c>
      <c r="Q25" s="103">
        <f>SUM(N25:P25)+G25</f>
        <v>1662.2</v>
      </c>
      <c r="R25" s="171">
        <f>K25-Q25</f>
        <v>5338.6</v>
      </c>
      <c r="S25" s="170">
        <v>419.125</v>
      </c>
      <c r="T25" s="128">
        <f t="shared" si="11"/>
        <v>1435.16</v>
      </c>
      <c r="U25" s="157">
        <f t="shared" si="12"/>
        <v>140.02000000000001</v>
      </c>
      <c r="V25" s="129">
        <f>SUM(S25:U25)</f>
        <v>1994.3050000000001</v>
      </c>
      <c r="X25" s="169"/>
    </row>
    <row r="26" spans="2:24" ht="21" x14ac:dyDescent="0.35">
      <c r="B26" s="102" t="s">
        <v>65</v>
      </c>
      <c r="C26" s="125" t="s">
        <v>59</v>
      </c>
      <c r="D26" s="158" t="s">
        <v>134</v>
      </c>
      <c r="E26" s="103">
        <v>7000.8</v>
      </c>
      <c r="F26" s="126">
        <v>15</v>
      </c>
      <c r="G26" s="178">
        <v>1189</v>
      </c>
      <c r="H26" s="130"/>
      <c r="I26" s="130"/>
      <c r="J26" s="103"/>
      <c r="K26" s="103">
        <f>E26-I26+H26</f>
        <v>7000.8</v>
      </c>
      <c r="L26" s="103">
        <v>0</v>
      </c>
      <c r="M26" s="103"/>
      <c r="N26" s="103">
        <v>857.15</v>
      </c>
      <c r="O26" s="103">
        <v>-0.04</v>
      </c>
      <c r="P26" s="156">
        <f>ROUND(E26*0.115,2)</f>
        <v>805.09</v>
      </c>
      <c r="Q26" s="103">
        <f>SUM(N26:P26)+G26</f>
        <v>2851.2</v>
      </c>
      <c r="R26" s="171">
        <f>K26-Q26</f>
        <v>4149.6000000000004</v>
      </c>
      <c r="S26" s="170">
        <v>419.125</v>
      </c>
      <c r="T26" s="128">
        <f t="shared" si="11"/>
        <v>1435.16</v>
      </c>
      <c r="U26" s="157">
        <f t="shared" si="12"/>
        <v>140.02000000000001</v>
      </c>
      <c r="V26" s="129">
        <f>SUM(S26:U26)</f>
        <v>1994.3050000000001</v>
      </c>
      <c r="X26" s="169"/>
    </row>
    <row r="27" spans="2:24" ht="18.75" x14ac:dyDescent="0.3">
      <c r="B27" s="138" t="s">
        <v>20</v>
      </c>
      <c r="C27" s="132"/>
      <c r="D27" s="133"/>
      <c r="E27" s="135">
        <f>SUM(E23:E26)</f>
        <v>28003.200000000001</v>
      </c>
      <c r="F27" s="135"/>
      <c r="G27" s="135">
        <f>+G26+G25+G23+G24</f>
        <v>1189</v>
      </c>
      <c r="H27" s="135"/>
      <c r="I27" s="135">
        <f t="shared" ref="I27:J27" si="14">SUM(I23:I26)</f>
        <v>466.72</v>
      </c>
      <c r="J27" s="135">
        <f t="shared" si="14"/>
        <v>0</v>
      </c>
      <c r="K27" s="135">
        <f>SUM(K23:K26)</f>
        <v>27536.48</v>
      </c>
      <c r="L27" s="135">
        <f t="shared" ref="L27" si="15">SUM(L23:L26)</f>
        <v>0</v>
      </c>
      <c r="M27" s="135">
        <f>SUM(M23:M26)</f>
        <v>0</v>
      </c>
      <c r="N27" s="135">
        <f>SUM(N23:N26)</f>
        <v>3428.6</v>
      </c>
      <c r="O27" s="135">
        <f t="shared" ref="O27:Q27" si="16">SUM(O23:O26)</f>
        <v>-0.08</v>
      </c>
      <c r="P27" s="135">
        <f>SUM(P23:P26)</f>
        <v>3220.36</v>
      </c>
      <c r="Q27" s="135">
        <f t="shared" si="16"/>
        <v>7837.88</v>
      </c>
      <c r="R27" s="135">
        <f>ROUND(SUM(R23:R26),1)</f>
        <v>19698.599999999999</v>
      </c>
      <c r="S27" s="135">
        <f>SUM(S23:S26)</f>
        <v>1676.5</v>
      </c>
      <c r="T27" s="135">
        <f>SUM(T23:T26)</f>
        <v>5740.64</v>
      </c>
      <c r="U27" s="135">
        <f>SUM(U23:U26)</f>
        <v>560.08000000000004</v>
      </c>
      <c r="V27" s="135">
        <f>SUM(V23:V26)</f>
        <v>7977.22</v>
      </c>
      <c r="X27" s="169"/>
    </row>
    <row r="28" spans="2:24" ht="18.75" hidden="1" x14ac:dyDescent="0.3">
      <c r="C28" s="136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37"/>
      <c r="X28" s="169"/>
    </row>
    <row r="29" spans="2:24" ht="18.75" x14ac:dyDescent="0.3">
      <c r="B29" s="138" t="s">
        <v>33</v>
      </c>
      <c r="C29" s="31" t="s">
        <v>32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37"/>
      <c r="X29" s="169"/>
    </row>
    <row r="30" spans="2:24" ht="21" x14ac:dyDescent="0.35">
      <c r="B30" s="102" t="s">
        <v>66</v>
      </c>
      <c r="C30" s="125" t="s">
        <v>49</v>
      </c>
      <c r="D30" s="158" t="s">
        <v>128</v>
      </c>
      <c r="E30" s="103">
        <v>7000.8</v>
      </c>
      <c r="F30" s="126">
        <v>15</v>
      </c>
      <c r="G30" s="103"/>
      <c r="H30" s="103"/>
      <c r="I30" s="144"/>
      <c r="J30" s="103"/>
      <c r="K30" s="103">
        <f t="shared" ref="K30:K44" si="17">E30-I30</f>
        <v>7000.8</v>
      </c>
      <c r="L30" s="103">
        <v>0</v>
      </c>
      <c r="M30" s="103"/>
      <c r="N30" s="103">
        <v>857.15</v>
      </c>
      <c r="O30" s="103">
        <v>-0.04</v>
      </c>
      <c r="P30" s="156">
        <f>ROUND(E30*0.115,2)</f>
        <v>805.09</v>
      </c>
      <c r="Q30" s="103">
        <f t="shared" ref="Q30:Q40" si="18">SUM(N30:P30)+G30</f>
        <v>1662.2</v>
      </c>
      <c r="R30" s="171">
        <f t="shared" ref="R30:R44" si="19">K30-Q30</f>
        <v>5338.6</v>
      </c>
      <c r="S30" s="170">
        <v>419.125</v>
      </c>
      <c r="T30" s="128">
        <f t="shared" ref="T30:T40" si="20">ROUND(+E30*17.5%,2)+ROUND(E30*3%,2)</f>
        <v>1435.16</v>
      </c>
      <c r="U30" s="157">
        <f t="shared" ref="U30:U40" si="21">ROUND(+E30*2%,2)</f>
        <v>140.02000000000001</v>
      </c>
      <c r="V30" s="129">
        <f>SUM(S30:U30)</f>
        <v>1994.3050000000001</v>
      </c>
      <c r="X30" s="169"/>
    </row>
    <row r="31" spans="2:24" ht="21" x14ac:dyDescent="0.35">
      <c r="B31" s="102" t="s">
        <v>67</v>
      </c>
      <c r="C31" s="125" t="s">
        <v>51</v>
      </c>
      <c r="D31" s="158" t="s">
        <v>135</v>
      </c>
      <c r="E31" s="103">
        <v>7000.8</v>
      </c>
      <c r="F31" s="126">
        <v>15</v>
      </c>
      <c r="G31" s="141"/>
      <c r="H31" s="103"/>
      <c r="I31" s="130"/>
      <c r="J31" s="141"/>
      <c r="K31" s="141">
        <f t="shared" si="17"/>
        <v>7000.8</v>
      </c>
      <c r="L31" s="141">
        <v>0</v>
      </c>
      <c r="M31" s="103"/>
      <c r="N31" s="103">
        <v>857.15</v>
      </c>
      <c r="O31" s="103">
        <v>-0.04</v>
      </c>
      <c r="P31" s="156">
        <f t="shared" ref="P31:P40" si="22">ROUND(E31*0.115,2)</f>
        <v>805.09</v>
      </c>
      <c r="Q31" s="103">
        <f>SUM(N31:P31)+G31</f>
        <v>1662.2</v>
      </c>
      <c r="R31" s="171">
        <f t="shared" si="19"/>
        <v>5338.6</v>
      </c>
      <c r="S31" s="170">
        <v>419.125</v>
      </c>
      <c r="T31" s="128">
        <f t="shared" si="20"/>
        <v>1435.16</v>
      </c>
      <c r="U31" s="157">
        <f t="shared" si="21"/>
        <v>140.02000000000001</v>
      </c>
      <c r="V31" s="129">
        <f>SUM(S31:U31)</f>
        <v>1994.3050000000001</v>
      </c>
      <c r="X31" s="169"/>
    </row>
    <row r="32" spans="2:24" ht="21" x14ac:dyDescent="0.35">
      <c r="B32" s="102" t="s">
        <v>68</v>
      </c>
      <c r="C32" s="125" t="s">
        <v>48</v>
      </c>
      <c r="D32" s="102" t="s">
        <v>123</v>
      </c>
      <c r="E32" s="103">
        <v>7443.8</v>
      </c>
      <c r="F32" s="126">
        <v>15</v>
      </c>
      <c r="G32" s="103"/>
      <c r="H32" s="103"/>
      <c r="I32" s="130"/>
      <c r="J32" s="103"/>
      <c r="K32" s="103">
        <f t="shared" si="17"/>
        <v>7443.8</v>
      </c>
      <c r="L32" s="103">
        <v>0</v>
      </c>
      <c r="M32" s="103"/>
      <c r="N32" s="103">
        <v>951.78</v>
      </c>
      <c r="O32" s="103">
        <v>-0.02</v>
      </c>
      <c r="P32" s="156">
        <f t="shared" si="22"/>
        <v>856.04</v>
      </c>
      <c r="Q32" s="103">
        <f t="shared" si="18"/>
        <v>1807.8</v>
      </c>
      <c r="R32" s="171">
        <f t="shared" si="19"/>
        <v>5636</v>
      </c>
      <c r="S32" s="170">
        <v>432.30499999999995</v>
      </c>
      <c r="T32" s="128">
        <f t="shared" si="20"/>
        <v>1525.98</v>
      </c>
      <c r="U32" s="157">
        <f>ROUND(+E32*2%,2)</f>
        <v>148.88</v>
      </c>
      <c r="V32" s="129">
        <f t="shared" ref="V32:V40" si="23">SUM(S32:U32)</f>
        <v>2107.165</v>
      </c>
      <c r="X32" s="169"/>
    </row>
    <row r="33" spans="2:24" ht="21" x14ac:dyDescent="0.35">
      <c r="B33" s="102" t="s">
        <v>77</v>
      </c>
      <c r="C33" s="125" t="s">
        <v>111</v>
      </c>
      <c r="D33" s="102" t="s">
        <v>127</v>
      </c>
      <c r="E33" s="103">
        <v>7000.8</v>
      </c>
      <c r="F33" s="126">
        <v>15</v>
      </c>
      <c r="G33" s="178">
        <v>1167</v>
      </c>
      <c r="H33" s="103"/>
      <c r="I33" s="144"/>
      <c r="J33" s="103"/>
      <c r="K33" s="103">
        <f>E33-I33</f>
        <v>7000.8</v>
      </c>
      <c r="L33" s="103">
        <v>0</v>
      </c>
      <c r="M33" s="103"/>
      <c r="N33" s="103">
        <v>857.15</v>
      </c>
      <c r="O33" s="103">
        <v>-0.04</v>
      </c>
      <c r="P33" s="156">
        <f t="shared" si="22"/>
        <v>805.09</v>
      </c>
      <c r="Q33" s="103">
        <f>SUM(N33:P33)+G33</f>
        <v>2829.2</v>
      </c>
      <c r="R33" s="171">
        <f>K33-Q33</f>
        <v>4171.6000000000004</v>
      </c>
      <c r="S33" s="170">
        <v>419.125</v>
      </c>
      <c r="T33" s="128">
        <f t="shared" si="20"/>
        <v>1435.16</v>
      </c>
      <c r="U33" s="157">
        <f t="shared" si="21"/>
        <v>140.02000000000001</v>
      </c>
      <c r="V33" s="129">
        <f t="shared" si="23"/>
        <v>1994.3050000000001</v>
      </c>
      <c r="X33" s="169"/>
    </row>
    <row r="34" spans="2:24" ht="21" x14ac:dyDescent="0.35">
      <c r="B34" s="102" t="s">
        <v>70</v>
      </c>
      <c r="C34" s="125" t="s">
        <v>46</v>
      </c>
      <c r="D34" s="102" t="s">
        <v>124</v>
      </c>
      <c r="E34" s="103">
        <v>7000.8</v>
      </c>
      <c r="F34" s="126">
        <v>15</v>
      </c>
      <c r="G34" s="178">
        <v>572.98</v>
      </c>
      <c r="H34" s="103"/>
      <c r="I34" s="139"/>
      <c r="J34" s="141"/>
      <c r="K34" s="141">
        <f t="shared" si="17"/>
        <v>7000.8</v>
      </c>
      <c r="L34" s="141">
        <v>0</v>
      </c>
      <c r="M34" s="103"/>
      <c r="N34" s="103">
        <v>857.15</v>
      </c>
      <c r="O34" s="103">
        <v>-0.02</v>
      </c>
      <c r="P34" s="156">
        <f t="shared" si="22"/>
        <v>805.09</v>
      </c>
      <c r="Q34" s="103">
        <f t="shared" si="18"/>
        <v>2235.1999999999998</v>
      </c>
      <c r="R34" s="171">
        <f t="shared" si="19"/>
        <v>4765.6000000000004</v>
      </c>
      <c r="S34" s="170">
        <v>419.125</v>
      </c>
      <c r="T34" s="128">
        <f t="shared" si="20"/>
        <v>1435.16</v>
      </c>
      <c r="U34" s="157">
        <f t="shared" si="21"/>
        <v>140.02000000000001</v>
      </c>
      <c r="V34" s="129">
        <f t="shared" si="23"/>
        <v>1994.3050000000001</v>
      </c>
      <c r="X34" s="169"/>
    </row>
    <row r="35" spans="2:24" ht="21" x14ac:dyDescent="0.35">
      <c r="B35" s="102" t="s">
        <v>71</v>
      </c>
      <c r="C35" s="125" t="s">
        <v>50</v>
      </c>
      <c r="D35" s="102" t="s">
        <v>124</v>
      </c>
      <c r="E35" s="103">
        <v>7000.8</v>
      </c>
      <c r="F35" s="126">
        <v>15</v>
      </c>
      <c r="G35" s="103"/>
      <c r="H35" s="141"/>
      <c r="I35" s="130"/>
      <c r="J35" s="141"/>
      <c r="K35" s="141">
        <f t="shared" si="17"/>
        <v>7000.8</v>
      </c>
      <c r="L35" s="141">
        <v>0</v>
      </c>
      <c r="M35" s="103"/>
      <c r="N35" s="103">
        <v>857.15</v>
      </c>
      <c r="O35" s="103">
        <v>0.16</v>
      </c>
      <c r="P35" s="156">
        <f t="shared" si="22"/>
        <v>805.09</v>
      </c>
      <c r="Q35" s="103">
        <f t="shared" si="18"/>
        <v>1662.4</v>
      </c>
      <c r="R35" s="171">
        <f t="shared" si="19"/>
        <v>5338.4</v>
      </c>
      <c r="S35" s="170">
        <v>419.125</v>
      </c>
      <c r="T35" s="128">
        <f t="shared" si="20"/>
        <v>1435.16</v>
      </c>
      <c r="U35" s="157">
        <f t="shared" si="21"/>
        <v>140.02000000000001</v>
      </c>
      <c r="V35" s="129">
        <f t="shared" si="23"/>
        <v>1994.3050000000001</v>
      </c>
      <c r="X35" s="169"/>
    </row>
    <row r="36" spans="2:24" ht="21" x14ac:dyDescent="0.35">
      <c r="B36" s="102" t="s">
        <v>72</v>
      </c>
      <c r="C36" s="125" t="s">
        <v>52</v>
      </c>
      <c r="D36" s="102" t="s">
        <v>124</v>
      </c>
      <c r="E36" s="103">
        <v>7000.8</v>
      </c>
      <c r="F36" s="126">
        <v>15</v>
      </c>
      <c r="G36" s="103"/>
      <c r="H36" s="103"/>
      <c r="I36" s="139"/>
      <c r="J36" s="141"/>
      <c r="K36" s="141">
        <f t="shared" si="17"/>
        <v>7000.8</v>
      </c>
      <c r="L36" s="141">
        <v>0</v>
      </c>
      <c r="M36" s="103"/>
      <c r="N36" s="103">
        <v>857.15</v>
      </c>
      <c r="O36" s="103">
        <v>-0.04</v>
      </c>
      <c r="P36" s="156">
        <f t="shared" si="22"/>
        <v>805.09</v>
      </c>
      <c r="Q36" s="103">
        <f t="shared" si="18"/>
        <v>1662.2</v>
      </c>
      <c r="R36" s="171">
        <f t="shared" si="19"/>
        <v>5338.6</v>
      </c>
      <c r="S36" s="170">
        <v>419.125</v>
      </c>
      <c r="T36" s="128">
        <f t="shared" si="20"/>
        <v>1435.16</v>
      </c>
      <c r="U36" s="157">
        <f t="shared" si="21"/>
        <v>140.02000000000001</v>
      </c>
      <c r="V36" s="129">
        <f t="shared" si="23"/>
        <v>1994.3050000000001</v>
      </c>
      <c r="X36" s="169"/>
    </row>
    <row r="37" spans="2:24" ht="21" x14ac:dyDescent="0.35">
      <c r="B37" s="202" t="s">
        <v>73</v>
      </c>
      <c r="C37" s="203" t="s">
        <v>165</v>
      </c>
      <c r="D37" s="202" t="s">
        <v>125</v>
      </c>
      <c r="E37" s="6">
        <v>0</v>
      </c>
      <c r="F37" s="204">
        <v>15</v>
      </c>
      <c r="G37" s="6"/>
      <c r="H37" s="6"/>
      <c r="I37" s="205"/>
      <c r="J37" s="6"/>
      <c r="K37" s="6">
        <f t="shared" si="17"/>
        <v>0</v>
      </c>
      <c r="L37" s="6">
        <v>0</v>
      </c>
      <c r="M37" s="6"/>
      <c r="N37" s="6">
        <v>0</v>
      </c>
      <c r="O37" s="6"/>
      <c r="P37" s="6">
        <f t="shared" si="22"/>
        <v>0</v>
      </c>
      <c r="Q37" s="6">
        <v>0</v>
      </c>
      <c r="R37" s="201">
        <f>K37-Q37</f>
        <v>0</v>
      </c>
      <c r="S37" s="211">
        <v>419.125</v>
      </c>
      <c r="T37" s="206">
        <f t="shared" si="20"/>
        <v>0</v>
      </c>
      <c r="U37" s="206">
        <f t="shared" si="21"/>
        <v>0</v>
      </c>
      <c r="V37" s="207">
        <f t="shared" si="23"/>
        <v>419.125</v>
      </c>
      <c r="X37" s="169"/>
    </row>
    <row r="38" spans="2:24" ht="21" x14ac:dyDescent="0.35">
      <c r="B38" s="102" t="s">
        <v>74</v>
      </c>
      <c r="C38" s="125" t="s">
        <v>53</v>
      </c>
      <c r="D38" s="102" t="s">
        <v>125</v>
      </c>
      <c r="E38" s="103">
        <v>7000.8</v>
      </c>
      <c r="F38" s="126">
        <v>15</v>
      </c>
      <c r="G38" s="141"/>
      <c r="H38" s="103"/>
      <c r="I38" s="139"/>
      <c r="J38" s="103"/>
      <c r="K38" s="103">
        <f t="shared" si="17"/>
        <v>7000.8</v>
      </c>
      <c r="L38" s="103">
        <v>0</v>
      </c>
      <c r="M38" s="103"/>
      <c r="N38" s="103">
        <v>857.15</v>
      </c>
      <c r="O38" s="103">
        <v>-0.04</v>
      </c>
      <c r="P38" s="156">
        <f t="shared" si="22"/>
        <v>805.09</v>
      </c>
      <c r="Q38" s="103">
        <f>SUM(N38:P38)+G38</f>
        <v>1662.2</v>
      </c>
      <c r="R38" s="171">
        <f t="shared" si="19"/>
        <v>5338.6</v>
      </c>
      <c r="S38" s="170">
        <v>419.125</v>
      </c>
      <c r="T38" s="128">
        <f t="shared" si="20"/>
        <v>1435.16</v>
      </c>
      <c r="U38" s="157">
        <f t="shared" si="21"/>
        <v>140.02000000000001</v>
      </c>
      <c r="V38" s="129">
        <f t="shared" si="23"/>
        <v>1994.3050000000001</v>
      </c>
      <c r="X38" s="169"/>
    </row>
    <row r="39" spans="2:24" ht="21" x14ac:dyDescent="0.35">
      <c r="B39" s="102" t="s">
        <v>75</v>
      </c>
      <c r="C39" s="125" t="s">
        <v>39</v>
      </c>
      <c r="D39" s="102" t="s">
        <v>126</v>
      </c>
      <c r="E39" s="103">
        <v>7000.8</v>
      </c>
      <c r="F39" s="126">
        <v>15</v>
      </c>
      <c r="G39" s="141"/>
      <c r="H39" s="103"/>
      <c r="I39" s="144"/>
      <c r="J39" s="103"/>
      <c r="K39" s="103">
        <f t="shared" si="17"/>
        <v>7000.8</v>
      </c>
      <c r="L39" s="103">
        <v>0</v>
      </c>
      <c r="M39" s="103"/>
      <c r="N39" s="103">
        <v>857.15</v>
      </c>
      <c r="O39" s="103">
        <v>0.16</v>
      </c>
      <c r="P39" s="156">
        <f t="shared" si="22"/>
        <v>805.09</v>
      </c>
      <c r="Q39" s="103">
        <f>SUM(N39:P39)+G39</f>
        <v>1662.4</v>
      </c>
      <c r="R39" s="171">
        <f t="shared" si="19"/>
        <v>5338.4</v>
      </c>
      <c r="S39" s="170">
        <v>419.125</v>
      </c>
      <c r="T39" s="128">
        <f t="shared" si="20"/>
        <v>1435.16</v>
      </c>
      <c r="U39" s="157">
        <f t="shared" si="21"/>
        <v>140.02000000000001</v>
      </c>
      <c r="V39" s="129">
        <f t="shared" si="23"/>
        <v>1994.3050000000001</v>
      </c>
      <c r="X39" s="169"/>
    </row>
    <row r="40" spans="2:24" ht="21" x14ac:dyDescent="0.35">
      <c r="B40" s="102" t="s">
        <v>76</v>
      </c>
      <c r="C40" s="125" t="s">
        <v>54</v>
      </c>
      <c r="D40" s="102" t="s">
        <v>126</v>
      </c>
      <c r="E40" s="103">
        <v>7000.8</v>
      </c>
      <c r="F40" s="126">
        <v>15</v>
      </c>
      <c r="G40" s="178">
        <v>1910</v>
      </c>
      <c r="H40" s="103"/>
      <c r="I40" s="144"/>
      <c r="J40" s="103"/>
      <c r="K40" s="103">
        <f t="shared" si="17"/>
        <v>7000.8</v>
      </c>
      <c r="L40" s="103">
        <v>0</v>
      </c>
      <c r="M40" s="103"/>
      <c r="N40" s="103">
        <v>857.15</v>
      </c>
      <c r="O40" s="103">
        <v>-0.04</v>
      </c>
      <c r="P40" s="156">
        <f t="shared" si="22"/>
        <v>805.09</v>
      </c>
      <c r="Q40" s="103">
        <f t="shared" si="18"/>
        <v>3572.2</v>
      </c>
      <c r="R40" s="171">
        <f t="shared" si="19"/>
        <v>3428.6000000000004</v>
      </c>
      <c r="S40" s="170">
        <v>419.125</v>
      </c>
      <c r="T40" s="128">
        <f t="shared" si="20"/>
        <v>1435.16</v>
      </c>
      <c r="U40" s="157">
        <f t="shared" si="21"/>
        <v>140.02000000000001</v>
      </c>
      <c r="V40" s="129">
        <f t="shared" si="23"/>
        <v>1994.3050000000001</v>
      </c>
      <c r="X40" s="169"/>
    </row>
    <row r="41" spans="2:24" ht="21" x14ac:dyDescent="0.35">
      <c r="B41" s="158"/>
      <c r="C41" s="30" t="s">
        <v>170</v>
      </c>
      <c r="D41" s="102" t="s">
        <v>125</v>
      </c>
      <c r="E41" s="103">
        <v>7000.8</v>
      </c>
      <c r="F41" s="126">
        <v>15</v>
      </c>
      <c r="G41" s="141"/>
      <c r="H41" s="103"/>
      <c r="I41" s="144"/>
      <c r="J41" s="103"/>
      <c r="K41" s="103">
        <f t="shared" si="17"/>
        <v>7000.8</v>
      </c>
      <c r="L41" s="103">
        <v>0</v>
      </c>
      <c r="M41" s="103"/>
      <c r="N41" s="103">
        <v>857.15</v>
      </c>
      <c r="O41" s="103">
        <v>0.05</v>
      </c>
      <c r="P41" s="141"/>
      <c r="Q41" s="103">
        <f t="shared" ref="Q41" si="24">SUM(N41:P41)+G41</f>
        <v>857.19999999999993</v>
      </c>
      <c r="R41" s="171">
        <f t="shared" si="19"/>
        <v>6143.6</v>
      </c>
      <c r="S41" s="170">
        <v>419.125</v>
      </c>
      <c r="T41" s="128"/>
      <c r="U41" s="157"/>
      <c r="V41" s="129">
        <f t="shared" ref="V41" si="25">SUM(S41:U41)</f>
        <v>419.125</v>
      </c>
      <c r="X41" s="169"/>
    </row>
    <row r="42" spans="2:24" ht="21" x14ac:dyDescent="0.35">
      <c r="B42" s="158" t="s">
        <v>150</v>
      </c>
      <c r="C42" s="30" t="s">
        <v>171</v>
      </c>
      <c r="D42" s="158" t="s">
        <v>109</v>
      </c>
      <c r="E42" s="103">
        <v>7000.8</v>
      </c>
      <c r="F42" s="126">
        <v>15</v>
      </c>
      <c r="G42" s="141"/>
      <c r="H42" s="103"/>
      <c r="I42" s="144"/>
      <c r="J42" s="103"/>
      <c r="K42" s="103">
        <f t="shared" si="17"/>
        <v>7000.8</v>
      </c>
      <c r="L42" s="103">
        <v>0</v>
      </c>
      <c r="M42" s="103"/>
      <c r="N42" s="103">
        <v>857.15</v>
      </c>
      <c r="O42" s="103">
        <v>0.05</v>
      </c>
      <c r="P42" s="141"/>
      <c r="Q42" s="103">
        <f t="shared" ref="Q42:Q44" si="26">SUM(N42:P42)+G42</f>
        <v>857.19999999999993</v>
      </c>
      <c r="R42" s="171">
        <f t="shared" si="19"/>
        <v>6143.6</v>
      </c>
      <c r="S42" s="170">
        <v>419.125</v>
      </c>
      <c r="T42" s="128"/>
      <c r="U42" s="157"/>
      <c r="V42" s="129">
        <f t="shared" ref="V42:V44" si="27">SUM(S42:U42)</f>
        <v>419.125</v>
      </c>
      <c r="X42" s="169"/>
    </row>
    <row r="43" spans="2:24" ht="21" x14ac:dyDescent="0.35">
      <c r="B43" s="158" t="s">
        <v>151</v>
      </c>
      <c r="C43" s="30" t="s">
        <v>172</v>
      </c>
      <c r="D43" s="158" t="s">
        <v>109</v>
      </c>
      <c r="E43" s="103">
        <v>7000.8</v>
      </c>
      <c r="F43" s="126">
        <v>15</v>
      </c>
      <c r="G43" s="141"/>
      <c r="H43" s="103"/>
      <c r="I43" s="144"/>
      <c r="J43" s="103"/>
      <c r="K43" s="103">
        <f t="shared" si="17"/>
        <v>7000.8</v>
      </c>
      <c r="L43" s="103">
        <v>0</v>
      </c>
      <c r="M43" s="103"/>
      <c r="N43" s="103">
        <v>857.15</v>
      </c>
      <c r="O43" s="103">
        <v>0.05</v>
      </c>
      <c r="P43" s="141"/>
      <c r="Q43" s="103">
        <f t="shared" si="26"/>
        <v>857.19999999999993</v>
      </c>
      <c r="R43" s="171">
        <f t="shared" si="19"/>
        <v>6143.6</v>
      </c>
      <c r="S43" s="170">
        <v>419.125</v>
      </c>
      <c r="T43" s="128"/>
      <c r="U43" s="157"/>
      <c r="V43" s="129">
        <f t="shared" si="27"/>
        <v>419.125</v>
      </c>
      <c r="X43" s="169"/>
    </row>
    <row r="44" spans="2:24" ht="21" x14ac:dyDescent="0.35">
      <c r="B44" s="158" t="s">
        <v>152</v>
      </c>
      <c r="C44" s="30" t="s">
        <v>173</v>
      </c>
      <c r="D44" s="158" t="s">
        <v>109</v>
      </c>
      <c r="E44" s="103">
        <v>7000.8</v>
      </c>
      <c r="F44" s="126">
        <v>15</v>
      </c>
      <c r="G44" s="141"/>
      <c r="H44" s="103"/>
      <c r="I44" s="144"/>
      <c r="J44" s="103"/>
      <c r="K44" s="103">
        <f t="shared" si="17"/>
        <v>7000.8</v>
      </c>
      <c r="L44" s="103">
        <v>0</v>
      </c>
      <c r="M44" s="103"/>
      <c r="N44" s="103">
        <v>857.15</v>
      </c>
      <c r="O44" s="103">
        <v>0.05</v>
      </c>
      <c r="P44" s="141"/>
      <c r="Q44" s="103">
        <f t="shared" si="26"/>
        <v>857.19999999999993</v>
      </c>
      <c r="R44" s="171">
        <f t="shared" si="19"/>
        <v>6143.6</v>
      </c>
      <c r="S44" s="170">
        <v>419.125</v>
      </c>
      <c r="T44" s="128"/>
      <c r="U44" s="157"/>
      <c r="V44" s="129">
        <f t="shared" si="27"/>
        <v>419.125</v>
      </c>
      <c r="X44" s="169"/>
    </row>
    <row r="45" spans="2:24" ht="18.75" x14ac:dyDescent="0.3">
      <c r="B45" s="138" t="s">
        <v>20</v>
      </c>
      <c r="C45" s="132"/>
      <c r="D45" s="133"/>
      <c r="E45" s="135">
        <f>SUM(E30:E44)</f>
        <v>98454.200000000026</v>
      </c>
      <c r="F45" s="135">
        <f t="shared" ref="F45:V45" si="28">SUM(F30:F44)</f>
        <v>225</v>
      </c>
      <c r="G45" s="135">
        <f>SUM(G30:G44)</f>
        <v>3649.98</v>
      </c>
      <c r="H45" s="135">
        <f t="shared" si="28"/>
        <v>0</v>
      </c>
      <c r="I45" s="135">
        <f t="shared" si="28"/>
        <v>0</v>
      </c>
      <c r="J45" s="135">
        <f t="shared" si="28"/>
        <v>0</v>
      </c>
      <c r="K45" s="135">
        <f>SUM(K30:K44)</f>
        <v>98454.200000000026</v>
      </c>
      <c r="L45" s="135">
        <f t="shared" si="28"/>
        <v>0</v>
      </c>
      <c r="M45" s="135">
        <f t="shared" si="28"/>
        <v>0</v>
      </c>
      <c r="N45" s="135">
        <f t="shared" si="28"/>
        <v>12094.729999999998</v>
      </c>
      <c r="O45" s="135">
        <f t="shared" si="28"/>
        <v>0.24</v>
      </c>
      <c r="P45" s="135">
        <f t="shared" si="28"/>
        <v>8101.8500000000013</v>
      </c>
      <c r="Q45" s="135">
        <f t="shared" si="28"/>
        <v>23846.800000000003</v>
      </c>
      <c r="R45" s="135">
        <f>ROUND(SUM(R30:R44),1)</f>
        <v>74607.399999999994</v>
      </c>
      <c r="S45" s="135">
        <f>SUM(S30:S44)</f>
        <v>6300.0550000000003</v>
      </c>
      <c r="T45" s="135">
        <f t="shared" si="28"/>
        <v>14442.42</v>
      </c>
      <c r="U45" s="135">
        <f t="shared" si="28"/>
        <v>1409.06</v>
      </c>
      <c r="V45" s="135">
        <f t="shared" si="28"/>
        <v>22151.535</v>
      </c>
      <c r="X45" s="169"/>
    </row>
    <row r="46" spans="2:24" ht="18.75" hidden="1" x14ac:dyDescent="0.3">
      <c r="C46" s="136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37"/>
      <c r="X46" s="169"/>
    </row>
    <row r="47" spans="2:24" ht="18.75" x14ac:dyDescent="0.3">
      <c r="B47" s="138" t="s">
        <v>78</v>
      </c>
      <c r="C47" s="31" t="s">
        <v>34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37"/>
      <c r="X47" s="169"/>
    </row>
    <row r="48" spans="2:24" ht="21" x14ac:dyDescent="0.35">
      <c r="B48" s="102" t="s">
        <v>69</v>
      </c>
      <c r="C48" s="125" t="s">
        <v>55</v>
      </c>
      <c r="D48" s="102" t="s">
        <v>130</v>
      </c>
      <c r="E48" s="103">
        <v>7443.8</v>
      </c>
      <c r="F48" s="126">
        <v>15</v>
      </c>
      <c r="G48" s="137"/>
      <c r="H48" s="103"/>
      <c r="I48" s="144"/>
      <c r="J48" s="141"/>
      <c r="K48" s="141">
        <f t="shared" ref="K48" si="29">E48-I48</f>
        <v>7443.8</v>
      </c>
      <c r="L48" s="141"/>
      <c r="M48" s="103"/>
      <c r="N48" s="103">
        <v>951.78</v>
      </c>
      <c r="O48" s="103">
        <v>-0.02</v>
      </c>
      <c r="P48" s="156">
        <f t="shared" ref="P48:P50" si="30">ROUND(E48*0.115,2)</f>
        <v>856.04</v>
      </c>
      <c r="Q48" s="103">
        <f t="shared" ref="Q48" si="31">SUM(N48:P48)+G48</f>
        <v>1807.8</v>
      </c>
      <c r="R48" s="171">
        <f t="shared" ref="R48" si="32">K48-Q48</f>
        <v>5636</v>
      </c>
      <c r="S48" s="170">
        <v>432.30499999999995</v>
      </c>
      <c r="T48" s="128">
        <f t="shared" ref="T48:T50" si="33">ROUND(+E48*17.5%,2)+ROUND(E48*3%,2)</f>
        <v>1525.98</v>
      </c>
      <c r="U48" s="157">
        <f t="shared" ref="U48:U50" si="34">ROUND(+E48*2%,2)</f>
        <v>148.88</v>
      </c>
      <c r="V48" s="129">
        <f t="shared" ref="V48:V53" si="35">SUM(S48:U48)</f>
        <v>2107.165</v>
      </c>
      <c r="X48" s="169"/>
    </row>
    <row r="49" spans="2:24" ht="21" x14ac:dyDescent="0.35">
      <c r="B49" s="102" t="s">
        <v>81</v>
      </c>
      <c r="C49" s="125" t="s">
        <v>44</v>
      </c>
      <c r="D49" s="102" t="s">
        <v>128</v>
      </c>
      <c r="E49" s="103">
        <v>7000.8</v>
      </c>
      <c r="F49" s="126">
        <v>15</v>
      </c>
      <c r="G49" s="178">
        <v>1171.28</v>
      </c>
      <c r="H49" s="103"/>
      <c r="I49" s="144"/>
      <c r="J49" s="103"/>
      <c r="K49" s="103">
        <f>E49-I49</f>
        <v>7000.8</v>
      </c>
      <c r="L49" s="103"/>
      <c r="M49" s="103"/>
      <c r="N49" s="103">
        <v>857.15</v>
      </c>
      <c r="O49" s="103">
        <v>-0.12</v>
      </c>
      <c r="P49" s="156">
        <f t="shared" si="30"/>
        <v>805.09</v>
      </c>
      <c r="Q49" s="103">
        <f>SUM(N49:P49)+G49</f>
        <v>2833.3999999999996</v>
      </c>
      <c r="R49" s="171">
        <f>K49-Q49</f>
        <v>4167.4000000000005</v>
      </c>
      <c r="S49" s="170">
        <v>419.125</v>
      </c>
      <c r="T49" s="128">
        <f t="shared" si="33"/>
        <v>1435.16</v>
      </c>
      <c r="U49" s="157">
        <f t="shared" si="34"/>
        <v>140.02000000000001</v>
      </c>
      <c r="V49" s="129">
        <f t="shared" si="35"/>
        <v>1994.3050000000001</v>
      </c>
      <c r="X49" s="169"/>
    </row>
    <row r="50" spans="2:24" ht="21" x14ac:dyDescent="0.35">
      <c r="B50" s="102" t="s">
        <v>107</v>
      </c>
      <c r="C50" s="125" t="s">
        <v>108</v>
      </c>
      <c r="D50" s="102" t="s">
        <v>109</v>
      </c>
      <c r="E50" s="103">
        <v>7000.8</v>
      </c>
      <c r="F50" s="126">
        <v>15</v>
      </c>
      <c r="G50" s="103"/>
      <c r="H50" s="103"/>
      <c r="I50" s="103"/>
      <c r="J50" s="103"/>
      <c r="K50" s="103">
        <f>E50-I50</f>
        <v>7000.8</v>
      </c>
      <c r="L50" s="103"/>
      <c r="M50" s="103"/>
      <c r="N50" s="103">
        <v>857.15</v>
      </c>
      <c r="O50" s="103">
        <v>-0.04</v>
      </c>
      <c r="P50" s="156">
        <f t="shared" si="30"/>
        <v>805.09</v>
      </c>
      <c r="Q50" s="103">
        <f>SUM(N50:P50)+G50</f>
        <v>1662.2</v>
      </c>
      <c r="R50" s="171">
        <f>K50-Q50</f>
        <v>5338.6</v>
      </c>
      <c r="S50" s="170">
        <v>419.125</v>
      </c>
      <c r="T50" s="128">
        <f t="shared" si="33"/>
        <v>1435.16</v>
      </c>
      <c r="U50" s="157">
        <f t="shared" si="34"/>
        <v>140.02000000000001</v>
      </c>
      <c r="V50" s="129">
        <f t="shared" si="35"/>
        <v>1994.3050000000001</v>
      </c>
      <c r="X50" s="169"/>
    </row>
    <row r="51" spans="2:24" ht="31.5" x14ac:dyDescent="0.35">
      <c r="B51" s="158" t="s">
        <v>156</v>
      </c>
      <c r="C51" s="30" t="s">
        <v>167</v>
      </c>
      <c r="D51" s="198" t="s">
        <v>160</v>
      </c>
      <c r="E51" s="103">
        <v>6791.5</v>
      </c>
      <c r="F51" s="126">
        <v>15</v>
      </c>
      <c r="G51" s="141"/>
      <c r="H51" s="103"/>
      <c r="I51" s="144"/>
      <c r="J51" s="103"/>
      <c r="K51" s="103">
        <f t="shared" ref="K51:K53" si="36">E51-I51</f>
        <v>6791.5</v>
      </c>
      <c r="L51" s="103"/>
      <c r="M51" s="103"/>
      <c r="N51" s="103">
        <v>812.45</v>
      </c>
      <c r="O51" s="103">
        <v>0.05</v>
      </c>
      <c r="P51" s="156"/>
      <c r="Q51" s="103">
        <f t="shared" ref="Q51:Q53" si="37">SUM(N51:P51)+G51</f>
        <v>812.5</v>
      </c>
      <c r="R51" s="171">
        <f t="shared" ref="R51:R52" si="38">K51-Q51</f>
        <v>5979</v>
      </c>
      <c r="S51" s="170">
        <v>412.89499999999998</v>
      </c>
      <c r="T51" s="128"/>
      <c r="U51" s="157"/>
      <c r="V51" s="129">
        <f t="shared" si="35"/>
        <v>412.89499999999998</v>
      </c>
      <c r="X51" s="169"/>
    </row>
    <row r="52" spans="2:24" ht="31.5" x14ac:dyDescent="0.35">
      <c r="B52" s="158" t="s">
        <v>157</v>
      </c>
      <c r="C52" s="30" t="s">
        <v>168</v>
      </c>
      <c r="D52" s="198" t="s">
        <v>160</v>
      </c>
      <c r="E52" s="103">
        <v>6791.5</v>
      </c>
      <c r="F52" s="126">
        <v>15</v>
      </c>
      <c r="G52" s="141"/>
      <c r="H52" s="103"/>
      <c r="I52" s="144"/>
      <c r="J52" s="103"/>
      <c r="K52" s="103">
        <f t="shared" si="36"/>
        <v>6791.5</v>
      </c>
      <c r="L52" s="103"/>
      <c r="M52" s="103"/>
      <c r="N52" s="103">
        <v>812.45</v>
      </c>
      <c r="O52" s="103">
        <v>0.05</v>
      </c>
      <c r="P52" s="156"/>
      <c r="Q52" s="103">
        <f t="shared" si="37"/>
        <v>812.5</v>
      </c>
      <c r="R52" s="171">
        <f t="shared" si="38"/>
        <v>5979</v>
      </c>
      <c r="S52" s="170">
        <v>412.89499999999998</v>
      </c>
      <c r="T52" s="128"/>
      <c r="U52" s="157"/>
      <c r="V52" s="129">
        <f t="shared" si="35"/>
        <v>412.89499999999998</v>
      </c>
      <c r="X52" s="169"/>
    </row>
    <row r="53" spans="2:24" ht="31.5" x14ac:dyDescent="0.35">
      <c r="B53" s="158" t="s">
        <v>158</v>
      </c>
      <c r="C53" s="30" t="s">
        <v>169</v>
      </c>
      <c r="D53" s="198" t="s">
        <v>160</v>
      </c>
      <c r="E53" s="103">
        <v>6791.5</v>
      </c>
      <c r="F53" s="126">
        <v>15</v>
      </c>
      <c r="G53" s="103"/>
      <c r="H53" s="103"/>
      <c r="I53" s="103"/>
      <c r="J53" s="103"/>
      <c r="K53" s="103">
        <f t="shared" si="36"/>
        <v>6791.5</v>
      </c>
      <c r="L53" s="103"/>
      <c r="M53" s="103"/>
      <c r="N53" s="103">
        <v>812.45</v>
      </c>
      <c r="O53" s="103">
        <v>0.05</v>
      </c>
      <c r="P53" s="156"/>
      <c r="Q53" s="103">
        <f t="shared" si="37"/>
        <v>812.5</v>
      </c>
      <c r="R53" s="171">
        <f>K53-Q53</f>
        <v>5979</v>
      </c>
      <c r="S53" s="170">
        <v>412.89499999999998</v>
      </c>
      <c r="T53" s="128"/>
      <c r="U53" s="157"/>
      <c r="V53" s="129">
        <f t="shared" si="35"/>
        <v>412.89499999999998</v>
      </c>
      <c r="X53" s="169"/>
    </row>
    <row r="54" spans="2:24" ht="18.75" x14ac:dyDescent="0.3">
      <c r="B54" s="138" t="s">
        <v>20</v>
      </c>
      <c r="C54" s="132"/>
      <c r="D54" s="133"/>
      <c r="E54" s="135">
        <f>SUM(E48:E53)</f>
        <v>41819.9</v>
      </c>
      <c r="F54" s="135"/>
      <c r="G54" s="135">
        <f>SUM(G48:G53)</f>
        <v>1171.28</v>
      </c>
      <c r="H54" s="135">
        <f t="shared" ref="H54:V54" si="39">SUM(H48:H53)</f>
        <v>0</v>
      </c>
      <c r="I54" s="135">
        <f t="shared" si="39"/>
        <v>0</v>
      </c>
      <c r="J54" s="135">
        <f t="shared" si="39"/>
        <v>0</v>
      </c>
      <c r="K54" s="135">
        <f>SUM(K48:K53)</f>
        <v>41819.9</v>
      </c>
      <c r="L54" s="135">
        <f t="shared" si="39"/>
        <v>0</v>
      </c>
      <c r="M54" s="135">
        <f>SUM(M48:M53)</f>
        <v>0</v>
      </c>
      <c r="N54" s="135">
        <f>SUM(N48:N53)</f>
        <v>5103.4299999999994</v>
      </c>
      <c r="O54" s="135">
        <f t="shared" si="39"/>
        <v>-0.03</v>
      </c>
      <c r="P54" s="135">
        <f t="shared" si="39"/>
        <v>2466.2200000000003</v>
      </c>
      <c r="Q54" s="135">
        <f t="shared" si="39"/>
        <v>8740.9</v>
      </c>
      <c r="R54" s="135">
        <f>ROUND(SUM(R48:R53),1)</f>
        <v>33079</v>
      </c>
      <c r="S54" s="135">
        <f>SUM(S48:S53)</f>
        <v>2509.2399999999998</v>
      </c>
      <c r="T54" s="135">
        <f t="shared" si="39"/>
        <v>4396.3</v>
      </c>
      <c r="U54" s="135">
        <f t="shared" si="39"/>
        <v>428.91999999999996</v>
      </c>
      <c r="V54" s="135">
        <f t="shared" si="39"/>
        <v>7334.4600000000009</v>
      </c>
      <c r="X54" s="169"/>
    </row>
    <row r="55" spans="2:24" ht="18.75" hidden="1" x14ac:dyDescent="0.3">
      <c r="B55" s="138"/>
      <c r="C55" s="136"/>
      <c r="E55" s="103"/>
      <c r="F55" s="103"/>
      <c r="G55" s="103"/>
      <c r="H55" s="103"/>
      <c r="I55" s="103"/>
      <c r="J55" s="103"/>
      <c r="K55" s="146"/>
      <c r="L55" s="146"/>
      <c r="M55" s="146"/>
      <c r="N55" s="146"/>
      <c r="O55" s="146"/>
      <c r="P55" s="146"/>
      <c r="Q55" s="146"/>
      <c r="R55" s="147"/>
      <c r="S55" s="148"/>
      <c r="T55" s="148"/>
      <c r="U55" s="148"/>
      <c r="V55" s="148"/>
      <c r="X55" s="169"/>
    </row>
    <row r="56" spans="2:24" ht="18.75" x14ac:dyDescent="0.3">
      <c r="B56" s="138" t="s">
        <v>84</v>
      </c>
      <c r="C56" s="31" t="s">
        <v>85</v>
      </c>
      <c r="E56" s="103"/>
      <c r="F56" s="103"/>
      <c r="G56" s="103"/>
      <c r="H56" s="103"/>
      <c r="I56" s="103"/>
      <c r="J56" s="103"/>
      <c r="K56" s="146"/>
      <c r="L56" s="146"/>
      <c r="M56" s="146"/>
      <c r="N56" s="146"/>
      <c r="O56" s="146"/>
      <c r="P56" s="146"/>
      <c r="Q56" s="146"/>
      <c r="R56" s="147"/>
      <c r="S56" s="148"/>
      <c r="T56" s="148"/>
      <c r="U56" s="148"/>
      <c r="V56" s="148"/>
      <c r="X56" s="169"/>
    </row>
    <row r="57" spans="2:24" ht="21" x14ac:dyDescent="0.35">
      <c r="B57" s="102" t="s">
        <v>86</v>
      </c>
      <c r="C57" s="125" t="s">
        <v>30</v>
      </c>
      <c r="D57" s="102" t="s">
        <v>114</v>
      </c>
      <c r="E57" s="103">
        <v>13000</v>
      </c>
      <c r="F57" s="126">
        <v>15</v>
      </c>
      <c r="G57" s="178">
        <v>6287.68</v>
      </c>
      <c r="H57" s="103"/>
      <c r="I57" s="103"/>
      <c r="J57" s="103"/>
      <c r="K57" s="103">
        <f>E57-I57</f>
        <v>13000</v>
      </c>
      <c r="L57" s="103">
        <v>0</v>
      </c>
      <c r="M57" s="103"/>
      <c r="N57" s="103">
        <v>2161.23</v>
      </c>
      <c r="O57" s="103">
        <v>-0.11</v>
      </c>
      <c r="P57" s="156">
        <f>ROUND(E57*0.115,2)</f>
        <v>1495</v>
      </c>
      <c r="Q57" s="103">
        <f>SUM(N57:P57)+G57</f>
        <v>9943.7999999999993</v>
      </c>
      <c r="R57" s="171">
        <f>K57-Q57</f>
        <v>3056.2000000000007</v>
      </c>
      <c r="S57" s="29">
        <v>597.68999999999994</v>
      </c>
      <c r="T57" s="128">
        <f t="shared" ref="T57" si="40">ROUND(+E57*17.5%,2)+ROUND(E57*3%,2)</f>
        <v>2665</v>
      </c>
      <c r="U57" s="157">
        <f>ROUND(+E57*2%,2)</f>
        <v>260</v>
      </c>
      <c r="V57" s="129">
        <f t="shared" ref="V57" si="41">SUM(S57:U57)</f>
        <v>3522.69</v>
      </c>
      <c r="X57" s="169"/>
    </row>
    <row r="58" spans="2:24" ht="18.75" x14ac:dyDescent="0.3">
      <c r="B58" s="138" t="s">
        <v>20</v>
      </c>
      <c r="E58" s="135">
        <f>E57</f>
        <v>13000</v>
      </c>
      <c r="F58" s="135"/>
      <c r="G58" s="135">
        <f>+G57</f>
        <v>6287.68</v>
      </c>
      <c r="H58" s="135"/>
      <c r="I58" s="135">
        <f>I57</f>
        <v>0</v>
      </c>
      <c r="J58" s="135">
        <f>J57</f>
        <v>0</v>
      </c>
      <c r="K58" s="135">
        <f>K57</f>
        <v>13000</v>
      </c>
      <c r="L58" s="135">
        <f t="shared" ref="L58:V58" si="42">L57</f>
        <v>0</v>
      </c>
      <c r="M58" s="135">
        <f t="shared" si="42"/>
        <v>0</v>
      </c>
      <c r="N58" s="135">
        <f>N57</f>
        <v>2161.23</v>
      </c>
      <c r="O58" s="135">
        <f t="shared" si="42"/>
        <v>-0.11</v>
      </c>
      <c r="P58" s="135">
        <f>P57</f>
        <v>1495</v>
      </c>
      <c r="Q58" s="135">
        <f t="shared" si="42"/>
        <v>9943.7999999999993</v>
      </c>
      <c r="R58" s="135">
        <f>ROUND(R57,1)</f>
        <v>3056.2</v>
      </c>
      <c r="S58" s="135">
        <f>S57</f>
        <v>597.68999999999994</v>
      </c>
      <c r="T58" s="135">
        <f t="shared" si="42"/>
        <v>2665</v>
      </c>
      <c r="U58" s="135">
        <f>U57</f>
        <v>260</v>
      </c>
      <c r="V58" s="135">
        <f t="shared" si="42"/>
        <v>3522.69</v>
      </c>
      <c r="X58" s="169"/>
    </row>
    <row r="59" spans="2:24" ht="12" customHeight="1" x14ac:dyDescent="0.3">
      <c r="B59" s="138"/>
      <c r="E59" s="103"/>
      <c r="F59" s="103"/>
      <c r="G59" s="103"/>
      <c r="H59" s="103"/>
      <c r="I59" s="103"/>
      <c r="J59" s="103"/>
      <c r="K59" s="146"/>
      <c r="L59" s="146"/>
      <c r="M59" s="146"/>
      <c r="N59" s="146"/>
      <c r="O59" s="146"/>
      <c r="P59" s="146"/>
      <c r="Q59" s="146"/>
      <c r="R59" s="147"/>
      <c r="S59" s="148"/>
      <c r="T59" s="148"/>
      <c r="U59" s="148"/>
      <c r="V59" s="148"/>
    </row>
    <row r="60" spans="2:24" ht="18.75" hidden="1" x14ac:dyDescent="0.3">
      <c r="R60" s="149"/>
    </row>
    <row r="61" spans="2:24" ht="18.75" x14ac:dyDescent="0.3">
      <c r="C61" s="150" t="s">
        <v>56</v>
      </c>
      <c r="E61" s="151">
        <f>E9+E20+E27+E45+E54+E58</f>
        <v>260544.66</v>
      </c>
      <c r="F61" s="151"/>
      <c r="G61" s="152">
        <f>G9+G20+G27+G45+G54+G58</f>
        <v>26303.52</v>
      </c>
      <c r="H61" s="151"/>
      <c r="I61" s="151">
        <f t="shared" ref="I61:V61" si="43">I9+I20+I27+I45+I54+I58</f>
        <v>962.97</v>
      </c>
      <c r="J61" s="151">
        <f t="shared" si="43"/>
        <v>0</v>
      </c>
      <c r="K61" s="151">
        <f>K9+K20+K27+K45+K54+K58</f>
        <v>259581.69</v>
      </c>
      <c r="L61" s="151">
        <f t="shared" si="43"/>
        <v>0</v>
      </c>
      <c r="M61" s="151">
        <f t="shared" si="43"/>
        <v>0</v>
      </c>
      <c r="N61" s="151">
        <f t="shared" si="43"/>
        <v>33733.659999999996</v>
      </c>
      <c r="O61" s="151">
        <f t="shared" si="43"/>
        <v>-4.0000000000000022E-2</v>
      </c>
      <c r="P61" s="152">
        <f>P9+P20+P27+P45+P54+P58</f>
        <v>24399.170000000002</v>
      </c>
      <c r="Q61" s="151">
        <f t="shared" si="43"/>
        <v>84436.31</v>
      </c>
      <c r="R61" s="153">
        <f>ROUND(+R9+R20+R27+R45+R54+R58,1)</f>
        <v>175145.4</v>
      </c>
      <c r="S61" s="151">
        <f>S9+S20+S27+S45+S54+S58</f>
        <v>15562.25</v>
      </c>
      <c r="T61" s="151">
        <f>T58+T54+T45+T27+T20+T9</f>
        <v>43494.152475000003</v>
      </c>
      <c r="U61" s="152">
        <f>U9+U20+U27+U45+U54+U58</f>
        <v>4243.43</v>
      </c>
      <c r="V61" s="154">
        <f t="shared" si="43"/>
        <v>63299.832474999996</v>
      </c>
    </row>
    <row r="62" spans="2:24" ht="18.75" x14ac:dyDescent="0.3">
      <c r="S62" s="151"/>
      <c r="T62" s="151"/>
    </row>
    <row r="63" spans="2:24" x14ac:dyDescent="0.25">
      <c r="T63" s="103"/>
      <c r="X63" s="169"/>
    </row>
    <row r="65" spans="3:20" x14ac:dyDescent="0.25">
      <c r="I65" s="169"/>
    </row>
    <row r="70" spans="3:20" ht="16.5" thickBot="1" x14ac:dyDescent="0.3">
      <c r="E70" s="293"/>
      <c r="F70" s="293"/>
      <c r="G70" s="212"/>
      <c r="H70" s="212"/>
      <c r="P70" s="294"/>
      <c r="Q70" s="294"/>
    </row>
    <row r="71" spans="3:20" ht="15" x14ac:dyDescent="0.25">
      <c r="E71" s="295" t="s">
        <v>91</v>
      </c>
      <c r="F71" s="295"/>
      <c r="G71" s="213"/>
      <c r="H71" s="213"/>
      <c r="P71" s="155"/>
      <c r="Q71" s="155"/>
      <c r="R71" s="296" t="s">
        <v>82</v>
      </c>
      <c r="S71" s="296"/>
      <c r="T71" s="212"/>
    </row>
    <row r="75" spans="3:20" x14ac:dyDescent="0.25">
      <c r="C75" s="102" t="s">
        <v>90</v>
      </c>
    </row>
  </sheetData>
  <mergeCells count="5">
    <mergeCell ref="B4:V4"/>
    <mergeCell ref="E70:F70"/>
    <mergeCell ref="P70:Q70"/>
    <mergeCell ref="E71:F71"/>
    <mergeCell ref="R71:S71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3B2A6-F233-4797-A705-229B6DAFC6D5}">
  <sheetPr>
    <pageSetUpPr fitToPage="1"/>
  </sheetPr>
  <dimension ref="B3:X75"/>
  <sheetViews>
    <sheetView topLeftCell="B1" zoomScale="85" zoomScaleNormal="85" workbookViewId="0">
      <selection activeCell="C41" sqref="C41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5.85546875" style="102" bestFit="1" customWidth="1"/>
    <col min="8" max="8" width="14.140625" style="102" hidden="1" customWidth="1"/>
    <col min="9" max="9" width="13.28515625" style="102" customWidth="1"/>
    <col min="10" max="10" width="13.28515625" style="102" hidden="1" customWidth="1"/>
    <col min="11" max="11" width="15.85546875" style="102" bestFit="1" customWidth="1"/>
    <col min="12" max="12" width="9.42578125" style="102" hidden="1" customWidth="1"/>
    <col min="13" max="13" width="14.42578125" style="102" hidden="1" customWidth="1"/>
    <col min="14" max="14" width="15.85546875" style="102" bestFit="1" customWidth="1"/>
    <col min="15" max="15" width="11.140625" style="102" bestFit="1" customWidth="1"/>
    <col min="16" max="16" width="14.42578125" style="102" bestFit="1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4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4" ht="16.5" customHeight="1" x14ac:dyDescent="0.25">
      <c r="B4" s="291" t="s">
        <v>177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4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2" t="s">
        <v>148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4" x14ac:dyDescent="0.25">
      <c r="B6" s="121" t="s">
        <v>13</v>
      </c>
      <c r="C6" s="5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4" ht="21" x14ac:dyDescent="0.35">
      <c r="B7" s="102" t="s">
        <v>15</v>
      </c>
      <c r="C7" s="125" t="s">
        <v>16</v>
      </c>
      <c r="D7" s="102" t="s">
        <v>19</v>
      </c>
      <c r="E7" s="103">
        <v>19461.365000000002</v>
      </c>
      <c r="F7" s="126">
        <v>15</v>
      </c>
      <c r="G7" s="141"/>
      <c r="H7" s="103"/>
      <c r="I7" s="103"/>
      <c r="J7" s="103"/>
      <c r="K7" s="103">
        <f>E7-I7</f>
        <v>19461.365000000002</v>
      </c>
      <c r="L7" s="103">
        <v>0</v>
      </c>
      <c r="M7" s="103"/>
      <c r="N7" s="103">
        <v>3721.35</v>
      </c>
      <c r="O7" s="103">
        <v>-0.04</v>
      </c>
      <c r="P7" s="156">
        <f>ROUND(E7*0.115,2)</f>
        <v>2238.06</v>
      </c>
      <c r="Q7" s="103">
        <f>SUM(N7:P7)+G7</f>
        <v>5959.37</v>
      </c>
      <c r="R7" s="171">
        <f>K7-Q7</f>
        <v>13501.995000000003</v>
      </c>
      <c r="S7" s="29">
        <v>790.02500000000009</v>
      </c>
      <c r="T7" s="128">
        <f>+E7*17.5%+E7*3%</f>
        <v>3989.5798249999998</v>
      </c>
      <c r="U7" s="157">
        <f>ROUND(+E7*2%,2)</f>
        <v>389.23</v>
      </c>
      <c r="V7" s="129">
        <f>SUM(S7:U7)</f>
        <v>5168.8348249999999</v>
      </c>
      <c r="X7" s="169"/>
    </row>
    <row r="8" spans="2:24" ht="21" x14ac:dyDescent="0.35">
      <c r="B8" s="102" t="s">
        <v>17</v>
      </c>
      <c r="C8" s="125" t="s">
        <v>18</v>
      </c>
      <c r="D8" s="102" t="s">
        <v>2</v>
      </c>
      <c r="E8" s="103">
        <v>6247.33</v>
      </c>
      <c r="F8" s="126">
        <v>15</v>
      </c>
      <c r="G8" s="159">
        <v>1000</v>
      </c>
      <c r="H8" s="103"/>
      <c r="I8" s="130"/>
      <c r="J8" s="103"/>
      <c r="K8" s="103">
        <f>E8-I8</f>
        <v>6247.33</v>
      </c>
      <c r="L8" s="103">
        <v>0</v>
      </c>
      <c r="M8" s="103"/>
      <c r="N8" s="103">
        <v>696.21</v>
      </c>
      <c r="O8" s="103">
        <v>0.08</v>
      </c>
      <c r="P8" s="156">
        <f>ROUND(E8*0.115,2)</f>
        <v>718.44</v>
      </c>
      <c r="Q8" s="103">
        <f>SUM(N8:P8)+G8</f>
        <v>2414.73</v>
      </c>
      <c r="R8" s="171">
        <f>K8-Q8</f>
        <v>3832.6</v>
      </c>
      <c r="S8" s="29">
        <v>396.69499999999999</v>
      </c>
      <c r="T8" s="128">
        <f>+E8*17.5%+E8*3%</f>
        <v>1280.7026499999997</v>
      </c>
      <c r="U8" s="157">
        <f>ROUND(+E8*2%,2)</f>
        <v>124.95</v>
      </c>
      <c r="V8" s="129">
        <f>SUM(S8:U8)</f>
        <v>1802.3476499999997</v>
      </c>
      <c r="X8" s="169"/>
    </row>
    <row r="9" spans="2:24" ht="18.75" x14ac:dyDescent="0.3">
      <c r="B9" s="131" t="s">
        <v>20</v>
      </c>
      <c r="C9" s="132"/>
      <c r="D9" s="133"/>
      <c r="E9" s="135">
        <f>SUM(E7:E8)</f>
        <v>25708.695</v>
      </c>
      <c r="F9" s="135"/>
      <c r="G9" s="135">
        <f>+G8+G7</f>
        <v>1000</v>
      </c>
      <c r="H9" s="135"/>
      <c r="I9" s="135">
        <f t="shared" ref="I9:V9" si="0">SUM(I7:I8)</f>
        <v>0</v>
      </c>
      <c r="J9" s="135">
        <f t="shared" si="0"/>
        <v>0</v>
      </c>
      <c r="K9" s="135">
        <f>SUM(K7:K8)</f>
        <v>25708.695</v>
      </c>
      <c r="L9" s="135">
        <f t="shared" si="0"/>
        <v>0</v>
      </c>
      <c r="M9" s="135">
        <f>SUM(M7:M8)</f>
        <v>0</v>
      </c>
      <c r="N9" s="135">
        <f>SUM(N7:N8)</f>
        <v>4417.5599999999995</v>
      </c>
      <c r="O9" s="135">
        <f t="shared" si="0"/>
        <v>0.04</v>
      </c>
      <c r="P9" s="135">
        <f>SUM(P7:P8)</f>
        <v>2956.5</v>
      </c>
      <c r="Q9" s="135">
        <f t="shared" si="0"/>
        <v>8374.1</v>
      </c>
      <c r="R9" s="135">
        <f>ROUND(SUM(R7:R8),1)</f>
        <v>17334.599999999999</v>
      </c>
      <c r="S9" s="135">
        <f>SUM(S7:S8)</f>
        <v>1186.72</v>
      </c>
      <c r="T9" s="135">
        <f t="shared" si="0"/>
        <v>5270.282475</v>
      </c>
      <c r="U9" s="135">
        <f>SUM(U7:U8)</f>
        <v>514.18000000000006</v>
      </c>
      <c r="V9" s="135">
        <f t="shared" si="0"/>
        <v>6971.1824749999996</v>
      </c>
      <c r="X9" s="169"/>
    </row>
    <row r="10" spans="2:24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4" ht="18.75" x14ac:dyDescent="0.3">
      <c r="B11" s="138" t="s">
        <v>21</v>
      </c>
      <c r="C11" s="31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4" ht="21" x14ac:dyDescent="0.35">
      <c r="B12" s="102" t="s">
        <v>23</v>
      </c>
      <c r="C12" s="125" t="s">
        <v>28</v>
      </c>
      <c r="D12" s="102" t="s">
        <v>114</v>
      </c>
      <c r="E12" s="103">
        <v>13000</v>
      </c>
      <c r="F12" s="126">
        <v>15</v>
      </c>
      <c r="G12" s="159">
        <v>3394</v>
      </c>
      <c r="H12" s="103"/>
      <c r="I12" s="103"/>
      <c r="J12" s="103"/>
      <c r="K12" s="103">
        <f t="shared" ref="K12:K18" si="1">E12-I12</f>
        <v>13000</v>
      </c>
      <c r="L12" s="103">
        <v>0</v>
      </c>
      <c r="M12" s="103"/>
      <c r="N12" s="103">
        <v>2161.23</v>
      </c>
      <c r="O12" s="103">
        <v>-0.03</v>
      </c>
      <c r="P12" s="156">
        <f t="shared" ref="P12:P19" si="2">ROUND(E12*0.115,2)</f>
        <v>1495</v>
      </c>
      <c r="Q12" s="103">
        <f t="shared" ref="Q12:Q19" si="3">SUM(N12:P12)+G12</f>
        <v>7050.2</v>
      </c>
      <c r="R12" s="171">
        <f t="shared" ref="R12:R19" si="4">K12-Q12</f>
        <v>5949.8</v>
      </c>
      <c r="S12" s="29">
        <v>597.69499999999994</v>
      </c>
      <c r="T12" s="128">
        <f>ROUND(+E12*17.5%,2)+ROUND(E12*3%,2)</f>
        <v>2665</v>
      </c>
      <c r="U12" s="157">
        <f t="shared" ref="U12:U19" si="5">ROUND(+E12*2%,2)</f>
        <v>260</v>
      </c>
      <c r="V12" s="129">
        <f t="shared" ref="V12:V19" si="6">SUM(S12:U12)</f>
        <v>3522.6949999999997</v>
      </c>
      <c r="X12" s="169"/>
    </row>
    <row r="13" spans="2:24" ht="21" x14ac:dyDescent="0.35">
      <c r="B13" s="102" t="s">
        <v>24</v>
      </c>
      <c r="C13" s="125" t="s">
        <v>29</v>
      </c>
      <c r="D13" s="102" t="s">
        <v>116</v>
      </c>
      <c r="E13" s="103">
        <v>7000.8</v>
      </c>
      <c r="F13" s="126">
        <v>15</v>
      </c>
      <c r="G13" s="159">
        <v>2129.5700000000002</v>
      </c>
      <c r="H13" s="103"/>
      <c r="I13" s="139"/>
      <c r="J13" s="140"/>
      <c r="K13" s="103">
        <f>E13-I13</f>
        <v>7000.8</v>
      </c>
      <c r="L13" s="103">
        <v>0</v>
      </c>
      <c r="M13" s="103"/>
      <c r="N13" s="103">
        <v>857.15</v>
      </c>
      <c r="O13" s="103">
        <v>-0.01</v>
      </c>
      <c r="P13" s="156">
        <f t="shared" si="2"/>
        <v>805.09</v>
      </c>
      <c r="Q13" s="103">
        <f t="shared" si="3"/>
        <v>3791.8</v>
      </c>
      <c r="R13" s="171">
        <f t="shared" si="4"/>
        <v>3209</v>
      </c>
      <c r="S13" s="29">
        <v>419.125</v>
      </c>
      <c r="T13" s="128">
        <f t="shared" ref="T13:T19" si="7">ROUND(+E13*17.5%,2)+ROUND(E13*3%,2)</f>
        <v>1435.16</v>
      </c>
      <c r="U13" s="157">
        <f t="shared" si="5"/>
        <v>140.02000000000001</v>
      </c>
      <c r="V13" s="129">
        <f t="shared" si="6"/>
        <v>1994.3050000000001</v>
      </c>
      <c r="X13" s="169"/>
    </row>
    <row r="14" spans="2:24" ht="21" x14ac:dyDescent="0.35">
      <c r="B14" s="102" t="s">
        <v>25</v>
      </c>
      <c r="C14" s="30" t="s">
        <v>174</v>
      </c>
      <c r="D14" s="102" t="s">
        <v>115</v>
      </c>
      <c r="E14" s="103">
        <v>7000.8</v>
      </c>
      <c r="F14" s="126">
        <v>15</v>
      </c>
      <c r="G14" s="159">
        <v>1330.99</v>
      </c>
      <c r="H14" s="141"/>
      <c r="I14" s="139"/>
      <c r="J14" s="140"/>
      <c r="K14" s="103">
        <f>E14-I14</f>
        <v>7000.8</v>
      </c>
      <c r="L14" s="103">
        <v>0</v>
      </c>
      <c r="M14" s="103"/>
      <c r="N14" s="103">
        <v>857.15</v>
      </c>
      <c r="O14" s="103">
        <v>-0.03</v>
      </c>
      <c r="P14" s="156">
        <f>ROUND(E14*0.115,2)</f>
        <v>805.09</v>
      </c>
      <c r="Q14" s="103">
        <f>SUM(N14:P14)+G14</f>
        <v>2993.2</v>
      </c>
      <c r="R14" s="171">
        <f>K14-Q14</f>
        <v>4007.6000000000004</v>
      </c>
      <c r="S14" s="29">
        <v>419.125</v>
      </c>
      <c r="T14" s="128">
        <f t="shared" si="7"/>
        <v>1435.16</v>
      </c>
      <c r="U14" s="157">
        <f t="shared" si="5"/>
        <v>140.02000000000001</v>
      </c>
      <c r="V14" s="129">
        <f t="shared" si="6"/>
        <v>1994.3050000000001</v>
      </c>
      <c r="X14" s="169"/>
    </row>
    <row r="15" spans="2:24" ht="21" x14ac:dyDescent="0.35">
      <c r="B15" s="102" t="s">
        <v>26</v>
      </c>
      <c r="C15" s="125" t="s">
        <v>58</v>
      </c>
      <c r="D15" s="102" t="s">
        <v>37</v>
      </c>
      <c r="E15" s="103">
        <v>7443.8</v>
      </c>
      <c r="F15" s="126">
        <v>15</v>
      </c>
      <c r="G15" s="103"/>
      <c r="H15" s="103"/>
      <c r="I15" s="139"/>
      <c r="J15" s="103"/>
      <c r="K15" s="103">
        <f t="shared" si="1"/>
        <v>7443.8</v>
      </c>
      <c r="L15" s="103">
        <v>0</v>
      </c>
      <c r="M15" s="103"/>
      <c r="N15" s="103">
        <v>951.78</v>
      </c>
      <c r="O15" s="103">
        <v>-7.0000000000000007E-2</v>
      </c>
      <c r="P15" s="156">
        <f t="shared" si="2"/>
        <v>856.04</v>
      </c>
      <c r="Q15" s="103">
        <f t="shared" si="3"/>
        <v>1807.75</v>
      </c>
      <c r="R15" s="171">
        <f t="shared" si="4"/>
        <v>5636.05</v>
      </c>
      <c r="S15" s="29">
        <v>432.30499999999995</v>
      </c>
      <c r="T15" s="128">
        <f t="shared" si="7"/>
        <v>1525.98</v>
      </c>
      <c r="U15" s="157">
        <f t="shared" si="5"/>
        <v>148.88</v>
      </c>
      <c r="V15" s="129">
        <f t="shared" si="6"/>
        <v>2107.165</v>
      </c>
      <c r="X15" s="169"/>
    </row>
    <row r="16" spans="2:24" ht="21" x14ac:dyDescent="0.35">
      <c r="B16" s="102" t="s">
        <v>27</v>
      </c>
      <c r="C16" s="125" t="s">
        <v>40</v>
      </c>
      <c r="D16" s="102" t="s">
        <v>117</v>
      </c>
      <c r="E16" s="103">
        <v>4918.3649999999998</v>
      </c>
      <c r="F16" s="126">
        <v>15</v>
      </c>
      <c r="G16" s="159">
        <v>2050</v>
      </c>
      <c r="H16" s="103"/>
      <c r="I16" s="139"/>
      <c r="J16" s="103"/>
      <c r="K16" s="103">
        <f>E16-I16</f>
        <v>4918.3649999999998</v>
      </c>
      <c r="L16" s="103">
        <v>0</v>
      </c>
      <c r="M16" s="103"/>
      <c r="N16" s="103">
        <v>447.61</v>
      </c>
      <c r="O16" s="103">
        <v>-0.05</v>
      </c>
      <c r="P16" s="156">
        <f>ROUND(E16*0.115,2)</f>
        <v>565.61</v>
      </c>
      <c r="Q16" s="103">
        <f>SUM(N16:P16)+G16</f>
        <v>3063.17</v>
      </c>
      <c r="R16" s="171">
        <f t="shared" si="4"/>
        <v>1855.1949999999997</v>
      </c>
      <c r="S16" s="29">
        <v>361.11500000000001</v>
      </c>
      <c r="T16" s="128">
        <f t="shared" si="7"/>
        <v>1008.26</v>
      </c>
      <c r="U16" s="157">
        <f t="shared" si="5"/>
        <v>98.37</v>
      </c>
      <c r="V16" s="129">
        <f t="shared" si="6"/>
        <v>1467.7449999999999</v>
      </c>
      <c r="X16" s="169"/>
    </row>
    <row r="17" spans="2:24" ht="21" x14ac:dyDescent="0.35">
      <c r="B17" s="102" t="s">
        <v>60</v>
      </c>
      <c r="C17" s="125" t="s">
        <v>41</v>
      </c>
      <c r="D17" s="102" t="s">
        <v>118</v>
      </c>
      <c r="E17" s="103">
        <v>4918.3649999999998</v>
      </c>
      <c r="F17" s="126">
        <v>15</v>
      </c>
      <c r="G17" s="159">
        <v>1676.62</v>
      </c>
      <c r="H17" s="103"/>
      <c r="I17" s="139"/>
      <c r="J17" s="103"/>
      <c r="K17" s="103">
        <f>E17-I17</f>
        <v>4918.3649999999998</v>
      </c>
      <c r="L17" s="103">
        <v>0</v>
      </c>
      <c r="M17" s="103"/>
      <c r="N17" s="103">
        <v>447.61</v>
      </c>
      <c r="O17" s="103">
        <v>0.13</v>
      </c>
      <c r="P17" s="156">
        <f t="shared" si="2"/>
        <v>565.61</v>
      </c>
      <c r="Q17" s="103">
        <f>SUM(N17:P17)+G17</f>
        <v>2689.97</v>
      </c>
      <c r="R17" s="171">
        <f>K17-Q17</f>
        <v>2228.395</v>
      </c>
      <c r="S17" s="29">
        <v>361.11500000000001</v>
      </c>
      <c r="T17" s="128">
        <f t="shared" si="7"/>
        <v>1008.26</v>
      </c>
      <c r="U17" s="157">
        <f t="shared" si="5"/>
        <v>98.37</v>
      </c>
      <c r="V17" s="129">
        <f t="shared" si="6"/>
        <v>1467.7449999999999</v>
      </c>
      <c r="X17" s="169"/>
    </row>
    <row r="18" spans="2:24" ht="21" x14ac:dyDescent="0.35">
      <c r="B18" s="102" t="s">
        <v>61</v>
      </c>
      <c r="C18" s="125" t="s">
        <v>43</v>
      </c>
      <c r="D18" s="102" t="s">
        <v>3</v>
      </c>
      <c r="E18" s="103">
        <v>4358.17</v>
      </c>
      <c r="F18" s="126">
        <v>14</v>
      </c>
      <c r="G18" s="159">
        <v>1211</v>
      </c>
      <c r="H18" s="103"/>
      <c r="I18" s="32">
        <v>290.54000000000002</v>
      </c>
      <c r="J18" s="103"/>
      <c r="K18" s="103">
        <f t="shared" si="1"/>
        <v>4067.63</v>
      </c>
      <c r="L18" s="103"/>
      <c r="M18" s="103"/>
      <c r="N18" s="103">
        <v>357.97</v>
      </c>
      <c r="O18" s="103">
        <v>0.01</v>
      </c>
      <c r="P18" s="156">
        <f t="shared" si="2"/>
        <v>501.19</v>
      </c>
      <c r="Q18" s="103">
        <f t="shared" si="3"/>
        <v>2070.17</v>
      </c>
      <c r="R18" s="171">
        <f t="shared" si="4"/>
        <v>1997.46</v>
      </c>
      <c r="S18" s="29">
        <v>312.95</v>
      </c>
      <c r="T18" s="128">
        <f t="shared" si="7"/>
        <v>893.43</v>
      </c>
      <c r="U18" s="157">
        <f t="shared" si="5"/>
        <v>87.16</v>
      </c>
      <c r="V18" s="129">
        <f t="shared" si="6"/>
        <v>1293.54</v>
      </c>
      <c r="X18" s="169"/>
    </row>
    <row r="19" spans="2:24" ht="21" x14ac:dyDescent="0.35">
      <c r="B19" s="102" t="s">
        <v>62</v>
      </c>
      <c r="C19" s="125" t="s">
        <v>42</v>
      </c>
      <c r="D19" s="102" t="s">
        <v>119</v>
      </c>
      <c r="E19" s="103">
        <v>4918.3649999999998</v>
      </c>
      <c r="F19" s="126">
        <v>15</v>
      </c>
      <c r="G19" s="159">
        <v>1213.4000000000001</v>
      </c>
      <c r="H19" s="130"/>
      <c r="I19" s="139"/>
      <c r="J19" s="103"/>
      <c r="K19" s="103">
        <f>E19-I19+H19</f>
        <v>4918.3649999999998</v>
      </c>
      <c r="L19" s="103"/>
      <c r="M19" s="103"/>
      <c r="N19" s="103">
        <v>447.61</v>
      </c>
      <c r="O19" s="103">
        <v>-0.05</v>
      </c>
      <c r="P19" s="156">
        <f t="shared" si="2"/>
        <v>565.61</v>
      </c>
      <c r="Q19" s="103">
        <f t="shared" si="3"/>
        <v>2226.5700000000002</v>
      </c>
      <c r="R19" s="171">
        <f t="shared" si="4"/>
        <v>2691.7949999999996</v>
      </c>
      <c r="S19" s="29">
        <v>361.11500000000001</v>
      </c>
      <c r="T19" s="128">
        <f t="shared" si="7"/>
        <v>1008.26</v>
      </c>
      <c r="U19" s="157">
        <f t="shared" si="5"/>
        <v>98.37</v>
      </c>
      <c r="V19" s="129">
        <f t="shared" si="6"/>
        <v>1467.7449999999999</v>
      </c>
      <c r="X19" s="169"/>
    </row>
    <row r="20" spans="2:24" ht="18.75" x14ac:dyDescent="0.3">
      <c r="B20" s="138" t="s">
        <v>20</v>
      </c>
      <c r="C20" s="194"/>
      <c r="D20" s="133"/>
      <c r="E20" s="135">
        <f>SUM(E12:E19)</f>
        <v>53558.664999999994</v>
      </c>
      <c r="F20" s="135"/>
      <c r="G20" s="135">
        <f>+G19+G18+G17+G16+G12+G13+G14</f>
        <v>13005.58</v>
      </c>
      <c r="H20" s="135"/>
      <c r="I20" s="135">
        <f t="shared" ref="I20:V20" si="8">SUM(I12:I19)</f>
        <v>290.54000000000002</v>
      </c>
      <c r="J20" s="135">
        <f t="shared" si="8"/>
        <v>0</v>
      </c>
      <c r="K20" s="135">
        <f>SUM(K12:K19)</f>
        <v>53268.124999999993</v>
      </c>
      <c r="L20" s="135">
        <f t="shared" ref="L20" si="9">SUM(L12:L19)</f>
        <v>0</v>
      </c>
      <c r="M20" s="135">
        <f>SUM(M12:M19)</f>
        <v>0</v>
      </c>
      <c r="N20" s="135">
        <f>SUM(N12:N19)</f>
        <v>6528.11</v>
      </c>
      <c r="O20" s="135">
        <f t="shared" si="8"/>
        <v>-0.1</v>
      </c>
      <c r="P20" s="135">
        <f>SUM(P12:P19)</f>
        <v>6159.2399999999989</v>
      </c>
      <c r="Q20" s="135">
        <f t="shared" si="8"/>
        <v>25692.83</v>
      </c>
      <c r="R20" s="135">
        <f>ROUND(SUM(R12:R19),1)</f>
        <v>27575.3</v>
      </c>
      <c r="S20" s="135">
        <f>SUM(S12:S19)</f>
        <v>3264.5449999999992</v>
      </c>
      <c r="T20" s="135">
        <f t="shared" si="8"/>
        <v>10979.51</v>
      </c>
      <c r="U20" s="135">
        <f>SUM(U12:U19)</f>
        <v>1071.19</v>
      </c>
      <c r="V20" s="135">
        <f t="shared" si="8"/>
        <v>15315.244999999999</v>
      </c>
      <c r="X20" s="169"/>
    </row>
    <row r="21" spans="2:24" ht="18.75" hidden="1" x14ac:dyDescent="0.3">
      <c r="B21" s="138"/>
      <c r="C21" s="136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37"/>
      <c r="X21" s="169"/>
    </row>
    <row r="22" spans="2:24" ht="18.75" x14ac:dyDescent="0.3">
      <c r="B22" s="138" t="s">
        <v>31</v>
      </c>
      <c r="C22" s="31" t="s">
        <v>83</v>
      </c>
      <c r="E22" s="103"/>
      <c r="F22" s="103"/>
      <c r="G22" s="103"/>
      <c r="H22" s="103"/>
      <c r="I22" s="103"/>
      <c r="J22" s="103"/>
      <c r="K22" s="142"/>
      <c r="L22" s="142"/>
      <c r="M22" s="103"/>
      <c r="N22" s="103"/>
      <c r="O22" s="103"/>
      <c r="P22" s="103"/>
      <c r="Q22" s="103"/>
      <c r="R22" s="137"/>
      <c r="X22" s="169"/>
    </row>
    <row r="23" spans="2:24" ht="21" x14ac:dyDescent="0.35">
      <c r="B23" s="102" t="s">
        <v>63</v>
      </c>
      <c r="C23" s="125" t="s">
        <v>110</v>
      </c>
      <c r="D23" s="158" t="s">
        <v>132</v>
      </c>
      <c r="E23" s="103">
        <v>7000.8</v>
      </c>
      <c r="F23" s="126">
        <v>15</v>
      </c>
      <c r="G23" s="103"/>
      <c r="H23" s="103"/>
      <c r="I23" s="103"/>
      <c r="J23" s="103"/>
      <c r="K23" s="103">
        <f>E23-I23</f>
        <v>7000.8</v>
      </c>
      <c r="L23" s="103">
        <v>0</v>
      </c>
      <c r="M23" s="103"/>
      <c r="N23" s="103">
        <v>857.15</v>
      </c>
      <c r="O23" s="103">
        <v>-0.04</v>
      </c>
      <c r="P23" s="156">
        <f>ROUND(E23*0.115,2)</f>
        <v>805.09</v>
      </c>
      <c r="Q23" s="103">
        <f t="shared" ref="Q23:Q24" si="10">SUM(N23:P23)+G23</f>
        <v>1662.2</v>
      </c>
      <c r="R23" s="171">
        <f>K23-Q23</f>
        <v>5338.6</v>
      </c>
      <c r="S23" s="170">
        <v>419.125</v>
      </c>
      <c r="T23" s="128">
        <f t="shared" ref="T23:T26" si="11">ROUND(+E23*17.5%,2)+ROUND(E23*3%,2)</f>
        <v>1435.16</v>
      </c>
      <c r="U23" s="157">
        <f t="shared" ref="U23:U26" si="12">ROUND(+E23*2%,2)</f>
        <v>140.02000000000001</v>
      </c>
      <c r="V23" s="129">
        <f t="shared" ref="V23:V24" si="13">SUM(S23:U23)</f>
        <v>1994.3050000000001</v>
      </c>
      <c r="X23" s="169"/>
    </row>
    <row r="24" spans="2:24" ht="21" x14ac:dyDescent="0.35">
      <c r="B24" s="102" t="s">
        <v>112</v>
      </c>
      <c r="C24" s="125" t="s">
        <v>113</v>
      </c>
      <c r="D24" s="158" t="s">
        <v>133</v>
      </c>
      <c r="E24" s="103">
        <v>7000.8</v>
      </c>
      <c r="F24" s="126">
        <v>15</v>
      </c>
      <c r="G24" s="103"/>
      <c r="H24" s="103"/>
      <c r="I24" s="139"/>
      <c r="J24" s="103"/>
      <c r="K24" s="103">
        <f>E24-I24</f>
        <v>7000.8</v>
      </c>
      <c r="L24" s="103">
        <v>0</v>
      </c>
      <c r="M24" s="103"/>
      <c r="N24" s="103">
        <v>857.15</v>
      </c>
      <c r="O24" s="103">
        <v>0.04</v>
      </c>
      <c r="P24" s="156">
        <f>ROUND(E24*0.115,2)</f>
        <v>805.09</v>
      </c>
      <c r="Q24" s="103">
        <f t="shared" si="10"/>
        <v>1662.28</v>
      </c>
      <c r="R24" s="171">
        <f>K24-Q24</f>
        <v>5338.52</v>
      </c>
      <c r="S24" s="170">
        <v>419.125</v>
      </c>
      <c r="T24" s="128">
        <f t="shared" si="11"/>
        <v>1435.16</v>
      </c>
      <c r="U24" s="157">
        <f t="shared" si="12"/>
        <v>140.02000000000001</v>
      </c>
      <c r="V24" s="129">
        <f t="shared" si="13"/>
        <v>1994.3050000000001</v>
      </c>
      <c r="X24" s="169"/>
    </row>
    <row r="25" spans="2:24" ht="21" x14ac:dyDescent="0.35">
      <c r="B25" s="102" t="s">
        <v>64</v>
      </c>
      <c r="C25" s="125" t="s">
        <v>45</v>
      </c>
      <c r="D25" s="102" t="s">
        <v>122</v>
      </c>
      <c r="E25" s="103">
        <v>7000.8</v>
      </c>
      <c r="F25" s="126">
        <v>15</v>
      </c>
      <c r="G25" s="141"/>
      <c r="H25" s="103"/>
      <c r="I25" s="143"/>
      <c r="J25" s="103"/>
      <c r="K25" s="103">
        <f>E25-I25</f>
        <v>7000.8</v>
      </c>
      <c r="L25" s="103">
        <v>0</v>
      </c>
      <c r="M25" s="103"/>
      <c r="N25" s="103">
        <v>857.15</v>
      </c>
      <c r="O25" s="103">
        <v>-0.04</v>
      </c>
      <c r="P25" s="156">
        <f>ROUND(E25*0.115,2)</f>
        <v>805.09</v>
      </c>
      <c r="Q25" s="103">
        <f>SUM(N25:P25)+G25</f>
        <v>1662.2</v>
      </c>
      <c r="R25" s="171">
        <f>K25-Q25</f>
        <v>5338.6</v>
      </c>
      <c r="S25" s="170">
        <v>419.125</v>
      </c>
      <c r="T25" s="128">
        <f t="shared" si="11"/>
        <v>1435.16</v>
      </c>
      <c r="U25" s="157">
        <f t="shared" si="12"/>
        <v>140.02000000000001</v>
      </c>
      <c r="V25" s="129">
        <f>SUM(S25:U25)</f>
        <v>1994.3050000000001</v>
      </c>
      <c r="X25" s="169"/>
    </row>
    <row r="26" spans="2:24" ht="21" x14ac:dyDescent="0.35">
      <c r="B26" s="102" t="s">
        <v>65</v>
      </c>
      <c r="C26" s="125" t="s">
        <v>59</v>
      </c>
      <c r="D26" s="158" t="s">
        <v>134</v>
      </c>
      <c r="E26" s="103">
        <v>7000.8</v>
      </c>
      <c r="F26" s="126">
        <v>15</v>
      </c>
      <c r="G26" s="159">
        <v>1189</v>
      </c>
      <c r="H26" s="130"/>
      <c r="I26" s="130"/>
      <c r="J26" s="103"/>
      <c r="K26" s="103">
        <f>E26-I26+H26</f>
        <v>7000.8</v>
      </c>
      <c r="L26" s="103">
        <v>0</v>
      </c>
      <c r="M26" s="103"/>
      <c r="N26" s="103">
        <v>857.15</v>
      </c>
      <c r="O26" s="103">
        <v>-0.04</v>
      </c>
      <c r="P26" s="156">
        <f>ROUND(E26*0.115,2)</f>
        <v>805.09</v>
      </c>
      <c r="Q26" s="103">
        <f>SUM(N26:P26)+G26</f>
        <v>2851.2</v>
      </c>
      <c r="R26" s="171">
        <f>K26-Q26</f>
        <v>4149.6000000000004</v>
      </c>
      <c r="S26" s="170">
        <v>419.125</v>
      </c>
      <c r="T26" s="128">
        <f t="shared" si="11"/>
        <v>1435.16</v>
      </c>
      <c r="U26" s="157">
        <f t="shared" si="12"/>
        <v>140.02000000000001</v>
      </c>
      <c r="V26" s="129">
        <f>SUM(S26:U26)</f>
        <v>1994.3050000000001</v>
      </c>
      <c r="X26" s="169"/>
    </row>
    <row r="27" spans="2:24" ht="18.75" x14ac:dyDescent="0.3">
      <c r="B27" s="138" t="s">
        <v>20</v>
      </c>
      <c r="C27" s="132"/>
      <c r="D27" s="133"/>
      <c r="E27" s="135">
        <f>SUM(E23:E26)</f>
        <v>28003.200000000001</v>
      </c>
      <c r="F27" s="135"/>
      <c r="G27" s="135">
        <f>+G26+G25+G23+G24</f>
        <v>1189</v>
      </c>
      <c r="H27" s="135"/>
      <c r="I27" s="135">
        <f t="shared" ref="I27:J27" si="14">SUM(I23:I26)</f>
        <v>0</v>
      </c>
      <c r="J27" s="135">
        <f t="shared" si="14"/>
        <v>0</v>
      </c>
      <c r="K27" s="135">
        <f>SUM(K23:K26)</f>
        <v>28003.200000000001</v>
      </c>
      <c r="L27" s="135">
        <f t="shared" ref="L27" si="15">SUM(L23:L26)</f>
        <v>0</v>
      </c>
      <c r="M27" s="135">
        <f>SUM(M23:M26)</f>
        <v>0</v>
      </c>
      <c r="N27" s="135">
        <f>SUM(N23:N26)</f>
        <v>3428.6</v>
      </c>
      <c r="O27" s="135">
        <f t="shared" ref="O27:Q27" si="16">SUM(O23:O26)</f>
        <v>-0.08</v>
      </c>
      <c r="P27" s="135">
        <f>SUM(P23:P26)</f>
        <v>3220.36</v>
      </c>
      <c r="Q27" s="135">
        <f t="shared" si="16"/>
        <v>7837.88</v>
      </c>
      <c r="R27" s="135">
        <f>ROUND(SUM(R23:R26),1)</f>
        <v>20165.3</v>
      </c>
      <c r="S27" s="135">
        <f>SUM(S23:S26)</f>
        <v>1676.5</v>
      </c>
      <c r="T27" s="135">
        <f>SUM(T23:T26)</f>
        <v>5740.64</v>
      </c>
      <c r="U27" s="135">
        <f>SUM(U23:U26)</f>
        <v>560.08000000000004</v>
      </c>
      <c r="V27" s="135">
        <f>SUM(V23:V26)</f>
        <v>7977.22</v>
      </c>
      <c r="X27" s="169"/>
    </row>
    <row r="28" spans="2:24" ht="18.75" hidden="1" x14ac:dyDescent="0.3">
      <c r="C28" s="136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37"/>
      <c r="X28" s="169"/>
    </row>
    <row r="29" spans="2:24" ht="18.75" x14ac:dyDescent="0.3">
      <c r="B29" s="138" t="s">
        <v>33</v>
      </c>
      <c r="C29" s="31" t="s">
        <v>32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37"/>
      <c r="X29" s="169"/>
    </row>
    <row r="30" spans="2:24" ht="21" x14ac:dyDescent="0.35">
      <c r="B30" s="102" t="s">
        <v>66</v>
      </c>
      <c r="C30" s="125" t="s">
        <v>49</v>
      </c>
      <c r="D30" s="158" t="s">
        <v>128</v>
      </c>
      <c r="E30" s="103">
        <v>7000.8</v>
      </c>
      <c r="F30" s="126">
        <v>15</v>
      </c>
      <c r="G30" s="103"/>
      <c r="H30" s="103"/>
      <c r="I30" s="144"/>
      <c r="J30" s="103"/>
      <c r="K30" s="103">
        <f t="shared" ref="K30:K44" si="17">E30-I30</f>
        <v>7000.8</v>
      </c>
      <c r="L30" s="103">
        <v>0</v>
      </c>
      <c r="M30" s="103"/>
      <c r="N30" s="103">
        <v>857.15</v>
      </c>
      <c r="O30" s="103">
        <v>-0.04</v>
      </c>
      <c r="P30" s="156">
        <f>ROUND(E30*0.115,2)</f>
        <v>805.09</v>
      </c>
      <c r="Q30" s="103">
        <f t="shared" ref="Q30:Q40" si="18">SUM(N30:P30)+G30</f>
        <v>1662.2</v>
      </c>
      <c r="R30" s="171">
        <f t="shared" ref="R30:R44" si="19">K30-Q30</f>
        <v>5338.6</v>
      </c>
      <c r="S30" s="170">
        <v>419.125</v>
      </c>
      <c r="T30" s="128">
        <f t="shared" ref="T30:T40" si="20">ROUND(+E30*17.5%,2)+ROUND(E30*3%,2)</f>
        <v>1435.16</v>
      </c>
      <c r="U30" s="157">
        <f t="shared" ref="U30:U40" si="21">ROUND(+E30*2%,2)</f>
        <v>140.02000000000001</v>
      </c>
      <c r="V30" s="129">
        <f>SUM(S30:U30)</f>
        <v>1994.3050000000001</v>
      </c>
      <c r="X30" s="169"/>
    </row>
    <row r="31" spans="2:24" ht="21" x14ac:dyDescent="0.35">
      <c r="B31" s="102" t="s">
        <v>67</v>
      </c>
      <c r="C31" s="125" t="s">
        <v>51</v>
      </c>
      <c r="D31" s="158" t="s">
        <v>135</v>
      </c>
      <c r="E31" s="103">
        <v>7000.8</v>
      </c>
      <c r="F31" s="126">
        <v>15</v>
      </c>
      <c r="G31" s="141"/>
      <c r="H31" s="103"/>
      <c r="I31" s="130"/>
      <c r="J31" s="141"/>
      <c r="K31" s="141">
        <f t="shared" si="17"/>
        <v>7000.8</v>
      </c>
      <c r="L31" s="141">
        <v>0</v>
      </c>
      <c r="M31" s="103"/>
      <c r="N31" s="103">
        <v>857.15</v>
      </c>
      <c r="O31" s="103">
        <v>-0.04</v>
      </c>
      <c r="P31" s="156">
        <f t="shared" ref="P31:P40" si="22">ROUND(E31*0.115,2)</f>
        <v>805.09</v>
      </c>
      <c r="Q31" s="103">
        <f>SUM(N31:P31)+G31</f>
        <v>1662.2</v>
      </c>
      <c r="R31" s="171">
        <f t="shared" si="19"/>
        <v>5338.6</v>
      </c>
      <c r="S31" s="170">
        <v>419.125</v>
      </c>
      <c r="T31" s="128">
        <f t="shared" si="20"/>
        <v>1435.16</v>
      </c>
      <c r="U31" s="157">
        <f t="shared" si="21"/>
        <v>140.02000000000001</v>
      </c>
      <c r="V31" s="129">
        <f>SUM(S31:U31)</f>
        <v>1994.3050000000001</v>
      </c>
      <c r="X31" s="169"/>
    </row>
    <row r="32" spans="2:24" ht="21" x14ac:dyDescent="0.35">
      <c r="B32" s="102" t="s">
        <v>68</v>
      </c>
      <c r="C32" s="125" t="s">
        <v>48</v>
      </c>
      <c r="D32" s="102" t="s">
        <v>123</v>
      </c>
      <c r="E32" s="103">
        <v>7443.8</v>
      </c>
      <c r="F32" s="126">
        <v>15</v>
      </c>
      <c r="G32" s="103"/>
      <c r="H32" s="103"/>
      <c r="I32" s="130"/>
      <c r="J32" s="103"/>
      <c r="K32" s="103">
        <f t="shared" si="17"/>
        <v>7443.8</v>
      </c>
      <c r="L32" s="103">
        <v>0</v>
      </c>
      <c r="M32" s="103"/>
      <c r="N32" s="103">
        <v>951.78</v>
      </c>
      <c r="O32" s="103">
        <v>-0.02</v>
      </c>
      <c r="P32" s="156">
        <f t="shared" si="22"/>
        <v>856.04</v>
      </c>
      <c r="Q32" s="103">
        <f t="shared" si="18"/>
        <v>1807.8</v>
      </c>
      <c r="R32" s="171">
        <f t="shared" si="19"/>
        <v>5636</v>
      </c>
      <c r="S32" s="170">
        <v>432.30499999999995</v>
      </c>
      <c r="T32" s="128">
        <f t="shared" si="20"/>
        <v>1525.98</v>
      </c>
      <c r="U32" s="157">
        <f>ROUND(+E32*2%,2)</f>
        <v>148.88</v>
      </c>
      <c r="V32" s="129">
        <f t="shared" ref="V32:V40" si="23">SUM(S32:U32)</f>
        <v>2107.165</v>
      </c>
      <c r="X32" s="169"/>
    </row>
    <row r="33" spans="2:24" ht="21" x14ac:dyDescent="0.35">
      <c r="B33" s="102" t="s">
        <v>77</v>
      </c>
      <c r="C33" s="125" t="s">
        <v>111</v>
      </c>
      <c r="D33" s="102" t="s">
        <v>127</v>
      </c>
      <c r="E33" s="103">
        <v>7000.8</v>
      </c>
      <c r="F33" s="126">
        <v>15</v>
      </c>
      <c r="G33" s="159">
        <v>1167</v>
      </c>
      <c r="H33" s="103"/>
      <c r="I33" s="144"/>
      <c r="J33" s="103"/>
      <c r="K33" s="103">
        <f>E33-I33</f>
        <v>7000.8</v>
      </c>
      <c r="L33" s="103">
        <v>0</v>
      </c>
      <c r="M33" s="103"/>
      <c r="N33" s="103">
        <v>857.15</v>
      </c>
      <c r="O33" s="103">
        <v>-0.04</v>
      </c>
      <c r="P33" s="156">
        <f t="shared" si="22"/>
        <v>805.09</v>
      </c>
      <c r="Q33" s="103">
        <f>SUM(N33:P33)+G33</f>
        <v>2829.2</v>
      </c>
      <c r="R33" s="171">
        <f>K33-Q33</f>
        <v>4171.6000000000004</v>
      </c>
      <c r="S33" s="170">
        <v>419.125</v>
      </c>
      <c r="T33" s="128">
        <f t="shared" si="20"/>
        <v>1435.16</v>
      </c>
      <c r="U33" s="157">
        <f t="shared" si="21"/>
        <v>140.02000000000001</v>
      </c>
      <c r="V33" s="129">
        <f t="shared" si="23"/>
        <v>1994.3050000000001</v>
      </c>
      <c r="X33" s="169"/>
    </row>
    <row r="34" spans="2:24" ht="21" x14ac:dyDescent="0.35">
      <c r="B34" s="102" t="s">
        <v>70</v>
      </c>
      <c r="C34" s="125" t="s">
        <v>46</v>
      </c>
      <c r="D34" s="102" t="s">
        <v>124</v>
      </c>
      <c r="E34" s="103">
        <v>7000.8</v>
      </c>
      <c r="F34" s="126">
        <v>15</v>
      </c>
      <c r="G34" s="159">
        <v>572.98</v>
      </c>
      <c r="H34" s="103"/>
      <c r="I34" s="139"/>
      <c r="J34" s="141"/>
      <c r="K34" s="141">
        <f t="shared" si="17"/>
        <v>7000.8</v>
      </c>
      <c r="L34" s="141">
        <v>0</v>
      </c>
      <c r="M34" s="103"/>
      <c r="N34" s="103">
        <v>857.15</v>
      </c>
      <c r="O34" s="103">
        <v>-0.02</v>
      </c>
      <c r="P34" s="156">
        <f t="shared" si="22"/>
        <v>805.09</v>
      </c>
      <c r="Q34" s="103">
        <f t="shared" si="18"/>
        <v>2235.1999999999998</v>
      </c>
      <c r="R34" s="171">
        <f t="shared" si="19"/>
        <v>4765.6000000000004</v>
      </c>
      <c r="S34" s="170">
        <v>419.125</v>
      </c>
      <c r="T34" s="128">
        <f t="shared" si="20"/>
        <v>1435.16</v>
      </c>
      <c r="U34" s="157">
        <f t="shared" si="21"/>
        <v>140.02000000000001</v>
      </c>
      <c r="V34" s="129">
        <f t="shared" si="23"/>
        <v>1994.3050000000001</v>
      </c>
      <c r="X34" s="169"/>
    </row>
    <row r="35" spans="2:24" ht="21" x14ac:dyDescent="0.35">
      <c r="B35" s="102" t="s">
        <v>71</v>
      </c>
      <c r="C35" s="125" t="s">
        <v>50</v>
      </c>
      <c r="D35" s="102" t="s">
        <v>124</v>
      </c>
      <c r="E35" s="103">
        <v>7000.8</v>
      </c>
      <c r="F35" s="126">
        <v>15</v>
      </c>
      <c r="G35" s="103"/>
      <c r="H35" s="141"/>
      <c r="I35" s="130"/>
      <c r="J35" s="141"/>
      <c r="K35" s="141">
        <f t="shared" si="17"/>
        <v>7000.8</v>
      </c>
      <c r="L35" s="141">
        <v>0</v>
      </c>
      <c r="M35" s="103"/>
      <c r="N35" s="103">
        <v>857.15</v>
      </c>
      <c r="O35" s="103">
        <v>0.16</v>
      </c>
      <c r="P35" s="156">
        <f t="shared" si="22"/>
        <v>805.09</v>
      </c>
      <c r="Q35" s="103">
        <f t="shared" si="18"/>
        <v>1662.4</v>
      </c>
      <c r="R35" s="171">
        <f t="shared" si="19"/>
        <v>5338.4</v>
      </c>
      <c r="S35" s="170">
        <v>419.125</v>
      </c>
      <c r="T35" s="128">
        <f t="shared" si="20"/>
        <v>1435.16</v>
      </c>
      <c r="U35" s="157">
        <f t="shared" si="21"/>
        <v>140.02000000000001</v>
      </c>
      <c r="V35" s="129">
        <f t="shared" si="23"/>
        <v>1994.3050000000001</v>
      </c>
      <c r="X35" s="169"/>
    </row>
    <row r="36" spans="2:24" ht="21" x14ac:dyDescent="0.35">
      <c r="B36" s="102" t="s">
        <v>72</v>
      </c>
      <c r="C36" s="125" t="s">
        <v>52</v>
      </c>
      <c r="D36" s="102" t="s">
        <v>124</v>
      </c>
      <c r="E36" s="103">
        <v>7000.8</v>
      </c>
      <c r="F36" s="126">
        <v>15</v>
      </c>
      <c r="G36" s="103"/>
      <c r="H36" s="103"/>
      <c r="I36" s="139"/>
      <c r="J36" s="141"/>
      <c r="K36" s="141">
        <f t="shared" si="17"/>
        <v>7000.8</v>
      </c>
      <c r="L36" s="141">
        <v>0</v>
      </c>
      <c r="M36" s="103"/>
      <c r="N36" s="103">
        <v>857.15</v>
      </c>
      <c r="O36" s="103">
        <v>-0.04</v>
      </c>
      <c r="P36" s="156">
        <f t="shared" si="22"/>
        <v>805.09</v>
      </c>
      <c r="Q36" s="103">
        <f t="shared" si="18"/>
        <v>1662.2</v>
      </c>
      <c r="R36" s="171">
        <f t="shared" si="19"/>
        <v>5338.6</v>
      </c>
      <c r="S36" s="170">
        <v>419.125</v>
      </c>
      <c r="T36" s="128">
        <f t="shared" si="20"/>
        <v>1435.16</v>
      </c>
      <c r="U36" s="157">
        <f t="shared" si="21"/>
        <v>140.02000000000001</v>
      </c>
      <c r="V36" s="129">
        <f t="shared" si="23"/>
        <v>1994.3050000000001</v>
      </c>
      <c r="X36" s="169"/>
    </row>
    <row r="37" spans="2:24" ht="21" x14ac:dyDescent="0.35">
      <c r="B37" s="202" t="s">
        <v>73</v>
      </c>
      <c r="C37" s="203" t="s">
        <v>165</v>
      </c>
      <c r="D37" s="202" t="s">
        <v>125</v>
      </c>
      <c r="E37" s="6">
        <v>0</v>
      </c>
      <c r="F37" s="204">
        <v>15</v>
      </c>
      <c r="G37" s="6"/>
      <c r="H37" s="6"/>
      <c r="I37" s="205"/>
      <c r="J37" s="6"/>
      <c r="K37" s="6">
        <f t="shared" si="17"/>
        <v>0</v>
      </c>
      <c r="L37" s="6">
        <v>0</v>
      </c>
      <c r="M37" s="6"/>
      <c r="N37" s="6">
        <v>0</v>
      </c>
      <c r="O37" s="6"/>
      <c r="P37" s="6">
        <f t="shared" si="22"/>
        <v>0</v>
      </c>
      <c r="Q37" s="6">
        <v>0</v>
      </c>
      <c r="R37" s="201">
        <f>K37-Q37</f>
        <v>0</v>
      </c>
      <c r="S37" s="211">
        <v>419.125</v>
      </c>
      <c r="T37" s="206">
        <f t="shared" si="20"/>
        <v>0</v>
      </c>
      <c r="U37" s="206">
        <f t="shared" si="21"/>
        <v>0</v>
      </c>
      <c r="V37" s="207">
        <f t="shared" si="23"/>
        <v>419.125</v>
      </c>
      <c r="X37" s="169"/>
    </row>
    <row r="38" spans="2:24" ht="21" x14ac:dyDescent="0.35">
      <c r="B38" s="102" t="s">
        <v>74</v>
      </c>
      <c r="C38" s="125" t="s">
        <v>53</v>
      </c>
      <c r="D38" s="102" t="s">
        <v>125</v>
      </c>
      <c r="E38" s="103">
        <v>7000.8</v>
      </c>
      <c r="F38" s="126">
        <v>15</v>
      </c>
      <c r="G38" s="141"/>
      <c r="H38" s="103"/>
      <c r="I38" s="139"/>
      <c r="J38" s="103"/>
      <c r="K38" s="103">
        <f t="shared" si="17"/>
        <v>7000.8</v>
      </c>
      <c r="L38" s="103">
        <v>0</v>
      </c>
      <c r="M38" s="103"/>
      <c r="N38" s="103">
        <v>857.15</v>
      </c>
      <c r="O38" s="103">
        <v>-0.04</v>
      </c>
      <c r="P38" s="156">
        <f t="shared" si="22"/>
        <v>805.09</v>
      </c>
      <c r="Q38" s="103">
        <f>SUM(N38:P38)+G38</f>
        <v>1662.2</v>
      </c>
      <c r="R38" s="171">
        <f t="shared" si="19"/>
        <v>5338.6</v>
      </c>
      <c r="S38" s="170">
        <v>419.125</v>
      </c>
      <c r="T38" s="128">
        <f t="shared" si="20"/>
        <v>1435.16</v>
      </c>
      <c r="U38" s="157">
        <f t="shared" si="21"/>
        <v>140.02000000000001</v>
      </c>
      <c r="V38" s="129">
        <f t="shared" si="23"/>
        <v>1994.3050000000001</v>
      </c>
      <c r="X38" s="169"/>
    </row>
    <row r="39" spans="2:24" ht="21" x14ac:dyDescent="0.35">
      <c r="B39" s="102" t="s">
        <v>75</v>
      </c>
      <c r="C39" s="125" t="s">
        <v>39</v>
      </c>
      <c r="D39" s="102" t="s">
        <v>126</v>
      </c>
      <c r="E39" s="103">
        <v>7000.8</v>
      </c>
      <c r="F39" s="126">
        <v>15</v>
      </c>
      <c r="G39" s="141"/>
      <c r="H39" s="103"/>
      <c r="I39" s="144"/>
      <c r="J39" s="103"/>
      <c r="K39" s="103">
        <f t="shared" si="17"/>
        <v>7000.8</v>
      </c>
      <c r="L39" s="103">
        <v>0</v>
      </c>
      <c r="M39" s="103"/>
      <c r="N39" s="103">
        <v>857.15</v>
      </c>
      <c r="O39" s="103">
        <v>0.16</v>
      </c>
      <c r="P39" s="156">
        <f t="shared" si="22"/>
        <v>805.09</v>
      </c>
      <c r="Q39" s="103">
        <f>SUM(N39:P39)+G39</f>
        <v>1662.4</v>
      </c>
      <c r="R39" s="171">
        <f t="shared" si="19"/>
        <v>5338.4</v>
      </c>
      <c r="S39" s="170">
        <v>419.125</v>
      </c>
      <c r="T39" s="128">
        <f t="shared" si="20"/>
        <v>1435.16</v>
      </c>
      <c r="U39" s="157">
        <f t="shared" si="21"/>
        <v>140.02000000000001</v>
      </c>
      <c r="V39" s="129">
        <f t="shared" si="23"/>
        <v>1994.3050000000001</v>
      </c>
      <c r="X39" s="169"/>
    </row>
    <row r="40" spans="2:24" ht="21" x14ac:dyDescent="0.35">
      <c r="B40" s="102" t="s">
        <v>76</v>
      </c>
      <c r="C40" s="125" t="s">
        <v>54</v>
      </c>
      <c r="D40" s="102" t="s">
        <v>126</v>
      </c>
      <c r="E40" s="103">
        <v>7000.8</v>
      </c>
      <c r="F40" s="126">
        <v>15</v>
      </c>
      <c r="G40" s="159">
        <v>1910</v>
      </c>
      <c r="H40" s="103"/>
      <c r="I40" s="144"/>
      <c r="J40" s="103"/>
      <c r="K40" s="103">
        <f t="shared" si="17"/>
        <v>7000.8</v>
      </c>
      <c r="L40" s="103">
        <v>0</v>
      </c>
      <c r="M40" s="103"/>
      <c r="N40" s="103">
        <v>857.15</v>
      </c>
      <c r="O40" s="103">
        <v>-0.04</v>
      </c>
      <c r="P40" s="156">
        <f t="shared" si="22"/>
        <v>805.09</v>
      </c>
      <c r="Q40" s="103">
        <f t="shared" si="18"/>
        <v>3572.2</v>
      </c>
      <c r="R40" s="171">
        <f t="shared" si="19"/>
        <v>3428.6000000000004</v>
      </c>
      <c r="S40" s="170">
        <v>419.125</v>
      </c>
      <c r="T40" s="128">
        <f t="shared" si="20"/>
        <v>1435.16</v>
      </c>
      <c r="U40" s="157">
        <f t="shared" si="21"/>
        <v>140.02000000000001</v>
      </c>
      <c r="V40" s="129">
        <f t="shared" si="23"/>
        <v>1994.3050000000001</v>
      </c>
      <c r="X40" s="169"/>
    </row>
    <row r="41" spans="2:24" ht="21" x14ac:dyDescent="0.35">
      <c r="B41" s="158"/>
      <c r="C41" s="30" t="s">
        <v>170</v>
      </c>
      <c r="D41" s="102" t="s">
        <v>125</v>
      </c>
      <c r="E41" s="103">
        <v>7000.8</v>
      </c>
      <c r="F41" s="126">
        <v>14</v>
      </c>
      <c r="G41" s="141"/>
      <c r="H41" s="103"/>
      <c r="I41" s="144">
        <v>466.72</v>
      </c>
      <c r="J41" s="103"/>
      <c r="K41" s="103">
        <f t="shared" si="17"/>
        <v>6534.08</v>
      </c>
      <c r="L41" s="103">
        <v>0</v>
      </c>
      <c r="M41" s="103"/>
      <c r="N41" s="103">
        <v>857.15</v>
      </c>
      <c r="O41" s="103">
        <v>0.05</v>
      </c>
      <c r="P41" s="141"/>
      <c r="Q41" s="103">
        <f t="shared" ref="Q41" si="24">SUM(N41:P41)+G41</f>
        <v>857.19999999999993</v>
      </c>
      <c r="R41" s="171">
        <f t="shared" si="19"/>
        <v>5676.88</v>
      </c>
      <c r="S41" s="170">
        <v>419.125</v>
      </c>
      <c r="T41" s="128"/>
      <c r="U41" s="157"/>
      <c r="V41" s="129">
        <f t="shared" ref="V41" si="25">SUM(S41:U41)</f>
        <v>419.125</v>
      </c>
      <c r="X41" s="169"/>
    </row>
    <row r="42" spans="2:24" ht="21" x14ac:dyDescent="0.35">
      <c r="B42" s="158" t="s">
        <v>150</v>
      </c>
      <c r="C42" s="30" t="s">
        <v>171</v>
      </c>
      <c r="D42" s="158" t="s">
        <v>109</v>
      </c>
      <c r="E42" s="103">
        <v>7000.8</v>
      </c>
      <c r="F42" s="126">
        <v>15</v>
      </c>
      <c r="G42" s="141"/>
      <c r="H42" s="103"/>
      <c r="I42" s="144"/>
      <c r="J42" s="103"/>
      <c r="K42" s="103">
        <f t="shared" si="17"/>
        <v>7000.8</v>
      </c>
      <c r="L42" s="103">
        <v>0</v>
      </c>
      <c r="M42" s="103"/>
      <c r="N42" s="103">
        <v>857.15</v>
      </c>
      <c r="O42" s="103">
        <v>0.05</v>
      </c>
      <c r="P42" s="141"/>
      <c r="Q42" s="103">
        <f t="shared" ref="Q42:Q44" si="26">SUM(N42:P42)+G42</f>
        <v>857.19999999999993</v>
      </c>
      <c r="R42" s="171">
        <f t="shared" si="19"/>
        <v>6143.6</v>
      </c>
      <c r="S42" s="170">
        <v>419.125</v>
      </c>
      <c r="T42" s="128"/>
      <c r="U42" s="157"/>
      <c r="V42" s="129">
        <f t="shared" ref="V42:V44" si="27">SUM(S42:U42)</f>
        <v>419.125</v>
      </c>
      <c r="X42" s="169"/>
    </row>
    <row r="43" spans="2:24" ht="21" x14ac:dyDescent="0.35">
      <c r="B43" s="158" t="s">
        <v>151</v>
      </c>
      <c r="C43" s="30" t="s">
        <v>172</v>
      </c>
      <c r="D43" s="158" t="s">
        <v>109</v>
      </c>
      <c r="E43" s="103">
        <v>7000.8</v>
      </c>
      <c r="F43" s="126">
        <v>15</v>
      </c>
      <c r="G43" s="141"/>
      <c r="H43" s="103"/>
      <c r="I43" s="144"/>
      <c r="J43" s="103"/>
      <c r="K43" s="103">
        <f t="shared" si="17"/>
        <v>7000.8</v>
      </c>
      <c r="L43" s="103">
        <v>0</v>
      </c>
      <c r="M43" s="103"/>
      <c r="N43" s="103">
        <v>857.15</v>
      </c>
      <c r="O43" s="103">
        <v>0.05</v>
      </c>
      <c r="P43" s="141"/>
      <c r="Q43" s="103">
        <f t="shared" si="26"/>
        <v>857.19999999999993</v>
      </c>
      <c r="R43" s="171">
        <f t="shared" si="19"/>
        <v>6143.6</v>
      </c>
      <c r="S43" s="170">
        <v>419.125</v>
      </c>
      <c r="T43" s="128"/>
      <c r="U43" s="157"/>
      <c r="V43" s="129">
        <f t="shared" si="27"/>
        <v>419.125</v>
      </c>
      <c r="X43" s="169"/>
    </row>
    <row r="44" spans="2:24" ht="21" x14ac:dyDescent="0.35">
      <c r="B44" s="158" t="s">
        <v>152</v>
      </c>
      <c r="C44" s="30" t="s">
        <v>173</v>
      </c>
      <c r="D44" s="158" t="s">
        <v>109</v>
      </c>
      <c r="E44" s="103">
        <v>7000.8</v>
      </c>
      <c r="F44" s="126">
        <v>15</v>
      </c>
      <c r="G44" s="141"/>
      <c r="H44" s="103"/>
      <c r="I44" s="144"/>
      <c r="J44" s="103"/>
      <c r="K44" s="103">
        <f t="shared" si="17"/>
        <v>7000.8</v>
      </c>
      <c r="L44" s="103">
        <v>0</v>
      </c>
      <c r="M44" s="103"/>
      <c r="N44" s="103">
        <v>857.15</v>
      </c>
      <c r="O44" s="103">
        <v>0.05</v>
      </c>
      <c r="P44" s="141"/>
      <c r="Q44" s="103">
        <f t="shared" si="26"/>
        <v>857.19999999999993</v>
      </c>
      <c r="R44" s="171">
        <f t="shared" si="19"/>
        <v>6143.6</v>
      </c>
      <c r="S44" s="170">
        <v>419.125</v>
      </c>
      <c r="T44" s="128"/>
      <c r="U44" s="157"/>
      <c r="V44" s="129">
        <f t="shared" si="27"/>
        <v>419.125</v>
      </c>
      <c r="X44" s="169"/>
    </row>
    <row r="45" spans="2:24" ht="18.75" x14ac:dyDescent="0.3">
      <c r="B45" s="138" t="s">
        <v>20</v>
      </c>
      <c r="C45" s="132"/>
      <c r="D45" s="133"/>
      <c r="E45" s="135">
        <f>SUM(E30:E44)</f>
        <v>98454.200000000026</v>
      </c>
      <c r="F45" s="135">
        <f t="shared" ref="F45:V45" si="28">SUM(F30:F44)</f>
        <v>224</v>
      </c>
      <c r="G45" s="135">
        <f>SUM(G30:G44)</f>
        <v>3649.98</v>
      </c>
      <c r="H45" s="135">
        <f t="shared" si="28"/>
        <v>0</v>
      </c>
      <c r="I45" s="135">
        <f t="shared" si="28"/>
        <v>466.72</v>
      </c>
      <c r="J45" s="135">
        <f t="shared" si="28"/>
        <v>0</v>
      </c>
      <c r="K45" s="135">
        <f>SUM(K30:K44)</f>
        <v>97987.480000000025</v>
      </c>
      <c r="L45" s="135">
        <f t="shared" si="28"/>
        <v>0</v>
      </c>
      <c r="M45" s="135">
        <f t="shared" si="28"/>
        <v>0</v>
      </c>
      <c r="N45" s="135">
        <f t="shared" si="28"/>
        <v>12094.729999999998</v>
      </c>
      <c r="O45" s="135">
        <f t="shared" si="28"/>
        <v>0.24</v>
      </c>
      <c r="P45" s="135">
        <f t="shared" si="28"/>
        <v>8101.8500000000013</v>
      </c>
      <c r="Q45" s="135">
        <f t="shared" si="28"/>
        <v>23846.800000000003</v>
      </c>
      <c r="R45" s="135">
        <f>ROUND(SUM(R30:R44),1)</f>
        <v>74140.7</v>
      </c>
      <c r="S45" s="135">
        <f>SUM(S30:S44)</f>
        <v>6300.0550000000003</v>
      </c>
      <c r="T45" s="135">
        <f t="shared" si="28"/>
        <v>14442.42</v>
      </c>
      <c r="U45" s="135">
        <f t="shared" si="28"/>
        <v>1409.06</v>
      </c>
      <c r="V45" s="135">
        <f t="shared" si="28"/>
        <v>22151.535</v>
      </c>
      <c r="X45" s="169"/>
    </row>
    <row r="46" spans="2:24" ht="18.75" hidden="1" x14ac:dyDescent="0.3">
      <c r="C46" s="136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37"/>
      <c r="X46" s="169"/>
    </row>
    <row r="47" spans="2:24" ht="18.75" x14ac:dyDescent="0.3">
      <c r="B47" s="138" t="s">
        <v>78</v>
      </c>
      <c r="C47" s="31" t="s">
        <v>34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37"/>
      <c r="X47" s="169"/>
    </row>
    <row r="48" spans="2:24" ht="21" x14ac:dyDescent="0.35">
      <c r="B48" s="102" t="s">
        <v>69</v>
      </c>
      <c r="C48" s="125" t="s">
        <v>55</v>
      </c>
      <c r="D48" s="102" t="s">
        <v>130</v>
      </c>
      <c r="E48" s="103">
        <v>7443.8</v>
      </c>
      <c r="F48" s="126">
        <v>15</v>
      </c>
      <c r="G48" s="137"/>
      <c r="H48" s="103"/>
      <c r="I48" s="144"/>
      <c r="J48" s="141"/>
      <c r="K48" s="141">
        <f t="shared" ref="K48" si="29">E48-I48</f>
        <v>7443.8</v>
      </c>
      <c r="L48" s="141"/>
      <c r="M48" s="103"/>
      <c r="N48" s="103">
        <v>951.78</v>
      </c>
      <c r="O48" s="103">
        <v>-0.02</v>
      </c>
      <c r="P48" s="156">
        <f t="shared" ref="P48:P50" si="30">ROUND(E48*0.115,2)</f>
        <v>856.04</v>
      </c>
      <c r="Q48" s="103">
        <f t="shared" ref="Q48" si="31">SUM(N48:P48)+G48</f>
        <v>1807.8</v>
      </c>
      <c r="R48" s="171">
        <f t="shared" ref="R48" si="32">K48-Q48</f>
        <v>5636</v>
      </c>
      <c r="S48" s="170">
        <v>432.30499999999995</v>
      </c>
      <c r="T48" s="128">
        <f t="shared" ref="T48:T50" si="33">ROUND(+E48*17.5%,2)+ROUND(E48*3%,2)</f>
        <v>1525.98</v>
      </c>
      <c r="U48" s="157">
        <f t="shared" ref="U48:U50" si="34">ROUND(+E48*2%,2)</f>
        <v>148.88</v>
      </c>
      <c r="V48" s="129">
        <f t="shared" ref="V48:V53" si="35">SUM(S48:U48)</f>
        <v>2107.165</v>
      </c>
      <c r="X48" s="169"/>
    </row>
    <row r="49" spans="2:24" ht="21" x14ac:dyDescent="0.35">
      <c r="B49" s="102" t="s">
        <v>81</v>
      </c>
      <c r="C49" s="125" t="s">
        <v>44</v>
      </c>
      <c r="D49" s="102" t="s">
        <v>128</v>
      </c>
      <c r="E49" s="103">
        <v>7000.8</v>
      </c>
      <c r="F49" s="126">
        <v>15</v>
      </c>
      <c r="G49" s="159">
        <v>1171.28</v>
      </c>
      <c r="H49" s="103"/>
      <c r="I49" s="144"/>
      <c r="J49" s="103"/>
      <c r="K49" s="103">
        <f>E49-I49</f>
        <v>7000.8</v>
      </c>
      <c r="L49" s="103"/>
      <c r="M49" s="103"/>
      <c r="N49" s="103">
        <v>857.15</v>
      </c>
      <c r="O49" s="103">
        <v>-0.12</v>
      </c>
      <c r="P49" s="156">
        <f t="shared" si="30"/>
        <v>805.09</v>
      </c>
      <c r="Q49" s="103">
        <f>SUM(N49:P49)+G49</f>
        <v>2833.3999999999996</v>
      </c>
      <c r="R49" s="171">
        <f>K49-Q49</f>
        <v>4167.4000000000005</v>
      </c>
      <c r="S49" s="170">
        <v>419.125</v>
      </c>
      <c r="T49" s="128">
        <f t="shared" si="33"/>
        <v>1435.16</v>
      </c>
      <c r="U49" s="157">
        <f t="shared" si="34"/>
        <v>140.02000000000001</v>
      </c>
      <c r="V49" s="129">
        <f t="shared" si="35"/>
        <v>1994.3050000000001</v>
      </c>
      <c r="X49" s="169"/>
    </row>
    <row r="50" spans="2:24" ht="21" x14ac:dyDescent="0.35">
      <c r="B50" s="102" t="s">
        <v>107</v>
      </c>
      <c r="C50" s="125" t="s">
        <v>108</v>
      </c>
      <c r="D50" s="102" t="s">
        <v>109</v>
      </c>
      <c r="E50" s="103">
        <v>7000.8</v>
      </c>
      <c r="F50" s="126">
        <v>15</v>
      </c>
      <c r="G50" s="103"/>
      <c r="H50" s="103"/>
      <c r="I50" s="103"/>
      <c r="J50" s="103"/>
      <c r="K50" s="103">
        <f>E50-I50</f>
        <v>7000.8</v>
      </c>
      <c r="L50" s="103"/>
      <c r="M50" s="103"/>
      <c r="N50" s="103">
        <v>857.15</v>
      </c>
      <c r="O50" s="103">
        <v>-0.04</v>
      </c>
      <c r="P50" s="156">
        <f t="shared" si="30"/>
        <v>805.09</v>
      </c>
      <c r="Q50" s="103">
        <f>SUM(N50:P50)+G50</f>
        <v>1662.2</v>
      </c>
      <c r="R50" s="171">
        <f>K50-Q50</f>
        <v>5338.6</v>
      </c>
      <c r="S50" s="170">
        <v>419.125</v>
      </c>
      <c r="T50" s="128">
        <f t="shared" si="33"/>
        <v>1435.16</v>
      </c>
      <c r="U50" s="157">
        <f t="shared" si="34"/>
        <v>140.02000000000001</v>
      </c>
      <c r="V50" s="129">
        <f t="shared" si="35"/>
        <v>1994.3050000000001</v>
      </c>
      <c r="X50" s="169"/>
    </row>
    <row r="51" spans="2:24" ht="31.5" x14ac:dyDescent="0.35">
      <c r="B51" s="158" t="s">
        <v>156</v>
      </c>
      <c r="C51" s="30" t="s">
        <v>167</v>
      </c>
      <c r="D51" s="198" t="s">
        <v>160</v>
      </c>
      <c r="E51" s="103">
        <v>6791.5</v>
      </c>
      <c r="F51" s="126">
        <v>15</v>
      </c>
      <c r="G51" s="141"/>
      <c r="H51" s="103"/>
      <c r="I51" s="144"/>
      <c r="J51" s="103"/>
      <c r="K51" s="103">
        <f t="shared" ref="K51:K53" si="36">E51-I51</f>
        <v>6791.5</v>
      </c>
      <c r="L51" s="103"/>
      <c r="M51" s="103"/>
      <c r="N51" s="103">
        <v>812.45</v>
      </c>
      <c r="O51" s="103">
        <v>0.05</v>
      </c>
      <c r="P51" s="156"/>
      <c r="Q51" s="103">
        <f t="shared" ref="Q51:Q53" si="37">SUM(N51:P51)+G51</f>
        <v>812.5</v>
      </c>
      <c r="R51" s="171">
        <f t="shared" ref="R51:R52" si="38">K51-Q51</f>
        <v>5979</v>
      </c>
      <c r="S51" s="170">
        <v>412.89499999999998</v>
      </c>
      <c r="T51" s="128"/>
      <c r="U51" s="157"/>
      <c r="V51" s="129">
        <f t="shared" si="35"/>
        <v>412.89499999999998</v>
      </c>
      <c r="X51" s="169"/>
    </row>
    <row r="52" spans="2:24" ht="31.5" x14ac:dyDescent="0.35">
      <c r="B52" s="158" t="s">
        <v>157</v>
      </c>
      <c r="C52" s="30" t="s">
        <v>168</v>
      </c>
      <c r="D52" s="198" t="s">
        <v>160</v>
      </c>
      <c r="E52" s="103">
        <v>6791.5</v>
      </c>
      <c r="F52" s="126">
        <v>15</v>
      </c>
      <c r="G52" s="141"/>
      <c r="H52" s="103"/>
      <c r="I52" s="144"/>
      <c r="J52" s="103"/>
      <c r="K52" s="103">
        <f t="shared" si="36"/>
        <v>6791.5</v>
      </c>
      <c r="L52" s="103"/>
      <c r="M52" s="103"/>
      <c r="N52" s="103">
        <v>812.45</v>
      </c>
      <c r="O52" s="103">
        <v>0.05</v>
      </c>
      <c r="P52" s="156"/>
      <c r="Q52" s="103">
        <f t="shared" si="37"/>
        <v>812.5</v>
      </c>
      <c r="R52" s="171">
        <f t="shared" si="38"/>
        <v>5979</v>
      </c>
      <c r="S52" s="170">
        <v>412.89499999999998</v>
      </c>
      <c r="T52" s="128"/>
      <c r="U52" s="157"/>
      <c r="V52" s="129">
        <f t="shared" si="35"/>
        <v>412.89499999999998</v>
      </c>
      <c r="X52" s="169"/>
    </row>
    <row r="53" spans="2:24" ht="31.5" x14ac:dyDescent="0.35">
      <c r="B53" s="158" t="s">
        <v>158</v>
      </c>
      <c r="C53" s="30" t="s">
        <v>169</v>
      </c>
      <c r="D53" s="198" t="s">
        <v>160</v>
      </c>
      <c r="E53" s="103">
        <v>6791.5</v>
      </c>
      <c r="F53" s="126">
        <v>15</v>
      </c>
      <c r="G53" s="103"/>
      <c r="H53" s="103"/>
      <c r="I53" s="103"/>
      <c r="J53" s="103"/>
      <c r="K53" s="103">
        <f t="shared" si="36"/>
        <v>6791.5</v>
      </c>
      <c r="L53" s="103"/>
      <c r="M53" s="103"/>
      <c r="N53" s="103">
        <v>812.45</v>
      </c>
      <c r="O53" s="103">
        <v>0.05</v>
      </c>
      <c r="P53" s="156"/>
      <c r="Q53" s="103">
        <f t="shared" si="37"/>
        <v>812.5</v>
      </c>
      <c r="R53" s="171">
        <f>K53-Q53</f>
        <v>5979</v>
      </c>
      <c r="S53" s="170">
        <v>412.89499999999998</v>
      </c>
      <c r="T53" s="128"/>
      <c r="U53" s="157"/>
      <c r="V53" s="129">
        <f t="shared" si="35"/>
        <v>412.89499999999998</v>
      </c>
      <c r="X53" s="169"/>
    </row>
    <row r="54" spans="2:24" ht="18.75" x14ac:dyDescent="0.3">
      <c r="B54" s="138" t="s">
        <v>20</v>
      </c>
      <c r="C54" s="132"/>
      <c r="D54" s="133"/>
      <c r="E54" s="135">
        <f>SUM(E48:E53)</f>
        <v>41819.9</v>
      </c>
      <c r="F54" s="135"/>
      <c r="G54" s="135">
        <f>SUM(G48:G53)</f>
        <v>1171.28</v>
      </c>
      <c r="H54" s="135">
        <f t="shared" ref="H54:V54" si="39">SUM(H48:H53)</f>
        <v>0</v>
      </c>
      <c r="I54" s="135">
        <f t="shared" si="39"/>
        <v>0</v>
      </c>
      <c r="J54" s="135">
        <f t="shared" si="39"/>
        <v>0</v>
      </c>
      <c r="K54" s="135">
        <f>SUM(K48:K53)</f>
        <v>41819.9</v>
      </c>
      <c r="L54" s="135">
        <f t="shared" si="39"/>
        <v>0</v>
      </c>
      <c r="M54" s="135">
        <f>SUM(M48:M53)</f>
        <v>0</v>
      </c>
      <c r="N54" s="135">
        <f>SUM(N48:N53)</f>
        <v>5103.4299999999994</v>
      </c>
      <c r="O54" s="135">
        <f t="shared" si="39"/>
        <v>-0.03</v>
      </c>
      <c r="P54" s="135">
        <f t="shared" si="39"/>
        <v>2466.2200000000003</v>
      </c>
      <c r="Q54" s="135">
        <f t="shared" si="39"/>
        <v>8740.9</v>
      </c>
      <c r="R54" s="135">
        <f>ROUND(SUM(R48:R53),1)</f>
        <v>33079</v>
      </c>
      <c r="S54" s="135">
        <f>SUM(S48:S53)</f>
        <v>2509.2399999999998</v>
      </c>
      <c r="T54" s="135">
        <f t="shared" si="39"/>
        <v>4396.3</v>
      </c>
      <c r="U54" s="135">
        <f t="shared" si="39"/>
        <v>428.91999999999996</v>
      </c>
      <c r="V54" s="135">
        <f t="shared" si="39"/>
        <v>7334.4600000000009</v>
      </c>
      <c r="X54" s="169"/>
    </row>
    <row r="55" spans="2:24" ht="18.75" hidden="1" x14ac:dyDescent="0.3">
      <c r="B55" s="138"/>
      <c r="C55" s="136"/>
      <c r="E55" s="103"/>
      <c r="F55" s="103"/>
      <c r="G55" s="103"/>
      <c r="H55" s="103"/>
      <c r="I55" s="103"/>
      <c r="J55" s="103"/>
      <c r="K55" s="146"/>
      <c r="L55" s="146"/>
      <c r="M55" s="146"/>
      <c r="N55" s="146"/>
      <c r="O55" s="146"/>
      <c r="P55" s="146"/>
      <c r="Q55" s="146"/>
      <c r="R55" s="147"/>
      <c r="S55" s="148"/>
      <c r="T55" s="148"/>
      <c r="U55" s="148"/>
      <c r="V55" s="148"/>
      <c r="X55" s="169"/>
    </row>
    <row r="56" spans="2:24" ht="18.75" x14ac:dyDescent="0.3">
      <c r="B56" s="138" t="s">
        <v>84</v>
      </c>
      <c r="C56" s="31" t="s">
        <v>85</v>
      </c>
      <c r="E56" s="103"/>
      <c r="F56" s="103"/>
      <c r="G56" s="103"/>
      <c r="H56" s="103"/>
      <c r="I56" s="103"/>
      <c r="J56" s="103"/>
      <c r="K56" s="146"/>
      <c r="L56" s="146"/>
      <c r="M56" s="146"/>
      <c r="N56" s="146"/>
      <c r="O56" s="146"/>
      <c r="P56" s="146"/>
      <c r="Q56" s="146"/>
      <c r="R56" s="147"/>
      <c r="S56" s="148"/>
      <c r="T56" s="148"/>
      <c r="U56" s="148"/>
      <c r="V56" s="148"/>
      <c r="X56" s="169"/>
    </row>
    <row r="57" spans="2:24" ht="21" x14ac:dyDescent="0.35">
      <c r="B57" s="102" t="s">
        <v>86</v>
      </c>
      <c r="C57" s="125" t="s">
        <v>30</v>
      </c>
      <c r="D57" s="102" t="s">
        <v>114</v>
      </c>
      <c r="E57" s="103">
        <v>13000</v>
      </c>
      <c r="F57" s="126">
        <v>15</v>
      </c>
      <c r="G57" s="159">
        <v>6274.18</v>
      </c>
      <c r="H57" s="103"/>
      <c r="I57" s="103"/>
      <c r="J57" s="103"/>
      <c r="K57" s="103">
        <f>E57-I57</f>
        <v>13000</v>
      </c>
      <c r="L57" s="103">
        <v>0</v>
      </c>
      <c r="M57" s="103"/>
      <c r="N57" s="103">
        <v>2161.23</v>
      </c>
      <c r="O57" s="103">
        <v>-0.11</v>
      </c>
      <c r="P57" s="156">
        <f>ROUND(E57*0.115,2)</f>
        <v>1495</v>
      </c>
      <c r="Q57" s="103">
        <f>SUM(N57:P57)+G57</f>
        <v>9930.2999999999993</v>
      </c>
      <c r="R57" s="171">
        <f>K57-Q57</f>
        <v>3069.7000000000007</v>
      </c>
      <c r="S57" s="29">
        <v>597.68999999999994</v>
      </c>
      <c r="T57" s="128">
        <f t="shared" ref="T57" si="40">ROUND(+E57*17.5%,2)+ROUND(E57*3%,2)</f>
        <v>2665</v>
      </c>
      <c r="U57" s="157">
        <f>ROUND(+E57*2%,2)</f>
        <v>260</v>
      </c>
      <c r="V57" s="129">
        <f t="shared" ref="V57" si="41">SUM(S57:U57)</f>
        <v>3522.69</v>
      </c>
      <c r="X57" s="169"/>
    </row>
    <row r="58" spans="2:24" ht="18.75" x14ac:dyDescent="0.3">
      <c r="B58" s="138" t="s">
        <v>20</v>
      </c>
      <c r="E58" s="135">
        <f>E57</f>
        <v>13000</v>
      </c>
      <c r="F58" s="135"/>
      <c r="G58" s="135">
        <f>+G57</f>
        <v>6274.18</v>
      </c>
      <c r="H58" s="135"/>
      <c r="I58" s="135">
        <f>I57</f>
        <v>0</v>
      </c>
      <c r="J58" s="135">
        <f>J57</f>
        <v>0</v>
      </c>
      <c r="K58" s="135">
        <f>K57</f>
        <v>13000</v>
      </c>
      <c r="L58" s="135">
        <f t="shared" ref="L58:V58" si="42">L57</f>
        <v>0</v>
      </c>
      <c r="M58" s="135">
        <f t="shared" si="42"/>
        <v>0</v>
      </c>
      <c r="N58" s="135">
        <f>N57</f>
        <v>2161.23</v>
      </c>
      <c r="O58" s="135">
        <f t="shared" si="42"/>
        <v>-0.11</v>
      </c>
      <c r="P58" s="135">
        <f>P57</f>
        <v>1495</v>
      </c>
      <c r="Q58" s="135">
        <f t="shared" si="42"/>
        <v>9930.2999999999993</v>
      </c>
      <c r="R58" s="135">
        <f>ROUND(R57,1)</f>
        <v>3069.7</v>
      </c>
      <c r="S58" s="135">
        <f>S57</f>
        <v>597.68999999999994</v>
      </c>
      <c r="T58" s="135">
        <f t="shared" si="42"/>
        <v>2665</v>
      </c>
      <c r="U58" s="135">
        <f>U57</f>
        <v>260</v>
      </c>
      <c r="V58" s="135">
        <f t="shared" si="42"/>
        <v>3522.69</v>
      </c>
      <c r="X58" s="169"/>
    </row>
    <row r="59" spans="2:24" ht="12" customHeight="1" x14ac:dyDescent="0.3">
      <c r="B59" s="138"/>
      <c r="E59" s="103"/>
      <c r="F59" s="103"/>
      <c r="G59" s="103"/>
      <c r="H59" s="103"/>
      <c r="I59" s="103"/>
      <c r="J59" s="103"/>
      <c r="K59" s="146"/>
      <c r="L59" s="146"/>
      <c r="M59" s="146"/>
      <c r="N59" s="146"/>
      <c r="O59" s="146"/>
      <c r="P59" s="146"/>
      <c r="Q59" s="146"/>
      <c r="R59" s="147"/>
      <c r="S59" s="148"/>
      <c r="T59" s="148"/>
      <c r="U59" s="148"/>
      <c r="V59" s="148"/>
    </row>
    <row r="60" spans="2:24" ht="18.75" hidden="1" x14ac:dyDescent="0.3">
      <c r="R60" s="149"/>
    </row>
    <row r="61" spans="2:24" ht="18.75" x14ac:dyDescent="0.3">
      <c r="C61" s="150" t="s">
        <v>56</v>
      </c>
      <c r="E61" s="151">
        <f>E9+E20+E27+E45+E54+E58</f>
        <v>260544.66</v>
      </c>
      <c r="F61" s="151"/>
      <c r="G61" s="152">
        <f>G9+G20+G27+G45+G54+G58</f>
        <v>26290.02</v>
      </c>
      <c r="H61" s="151"/>
      <c r="I61" s="151">
        <f t="shared" ref="I61:V61" si="43">I9+I20+I27+I45+I54+I58</f>
        <v>757.26</v>
      </c>
      <c r="J61" s="151">
        <f t="shared" si="43"/>
        <v>0</v>
      </c>
      <c r="K61" s="151">
        <f>K9+K20+K27+K45+K54+K58</f>
        <v>259787.4</v>
      </c>
      <c r="L61" s="151">
        <f t="shared" si="43"/>
        <v>0</v>
      </c>
      <c r="M61" s="151">
        <f t="shared" si="43"/>
        <v>0</v>
      </c>
      <c r="N61" s="151">
        <f t="shared" si="43"/>
        <v>33733.659999999996</v>
      </c>
      <c r="O61" s="151">
        <f t="shared" si="43"/>
        <v>-4.0000000000000022E-2</v>
      </c>
      <c r="P61" s="152">
        <f>P9+P20+P27+P45+P54+P58</f>
        <v>24399.170000000002</v>
      </c>
      <c r="Q61" s="151">
        <f t="shared" si="43"/>
        <v>84422.81</v>
      </c>
      <c r="R61" s="153">
        <f>ROUND(+R9+R20+R27+R45+R54+R58,1)</f>
        <v>175364.6</v>
      </c>
      <c r="S61" s="151">
        <f>S9+S20+S27+S45+S54+S58</f>
        <v>15534.75</v>
      </c>
      <c r="T61" s="151">
        <f>T58+T54+T45+T27+T20+T9</f>
        <v>43494.152475000003</v>
      </c>
      <c r="U61" s="152">
        <f>U9+U20+U27+U45+U54+U58</f>
        <v>4243.43</v>
      </c>
      <c r="V61" s="154">
        <f t="shared" si="43"/>
        <v>63272.332474999996</v>
      </c>
    </row>
    <row r="62" spans="2:24" ht="18.75" x14ac:dyDescent="0.3">
      <c r="S62" s="151"/>
      <c r="T62" s="151"/>
    </row>
    <row r="63" spans="2:24" x14ac:dyDescent="0.25">
      <c r="T63" s="103"/>
      <c r="X63" s="169"/>
    </row>
    <row r="65" spans="3:20" x14ac:dyDescent="0.25">
      <c r="I65" s="169"/>
    </row>
    <row r="70" spans="3:20" ht="16.5" thickBot="1" x14ac:dyDescent="0.3">
      <c r="E70" s="293"/>
      <c r="F70" s="293"/>
      <c r="G70" s="214"/>
      <c r="H70" s="214"/>
      <c r="P70" s="294"/>
      <c r="Q70" s="294"/>
    </row>
    <row r="71" spans="3:20" ht="15" x14ac:dyDescent="0.25">
      <c r="E71" s="295" t="s">
        <v>91</v>
      </c>
      <c r="F71" s="295"/>
      <c r="G71" s="215"/>
      <c r="H71" s="215"/>
      <c r="P71" s="155"/>
      <c r="Q71" s="155"/>
      <c r="R71" s="296" t="s">
        <v>82</v>
      </c>
      <c r="S71" s="296"/>
      <c r="T71" s="214"/>
    </row>
    <row r="75" spans="3:20" x14ac:dyDescent="0.25">
      <c r="C75" s="102" t="s">
        <v>90</v>
      </c>
    </row>
  </sheetData>
  <mergeCells count="5">
    <mergeCell ref="B4:V4"/>
    <mergeCell ref="E70:F70"/>
    <mergeCell ref="P70:Q70"/>
    <mergeCell ref="E71:F71"/>
    <mergeCell ref="R71:S71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77583-8872-4032-A386-05868EE19652}">
  <sheetPr>
    <pageSetUpPr fitToPage="1"/>
  </sheetPr>
  <dimension ref="A3:X75"/>
  <sheetViews>
    <sheetView topLeftCell="A8" zoomScale="85" zoomScaleNormal="85" workbookViewId="0">
      <selection activeCell="G38" sqref="G38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5.85546875" style="102" bestFit="1" customWidth="1"/>
    <col min="8" max="8" width="14.140625" style="102" hidden="1" customWidth="1"/>
    <col min="9" max="9" width="13.28515625" style="102" customWidth="1"/>
    <col min="10" max="10" width="13.28515625" style="102" hidden="1" customWidth="1"/>
    <col min="11" max="11" width="15.85546875" style="102" bestFit="1" customWidth="1"/>
    <col min="12" max="12" width="9.42578125" style="102" hidden="1" customWidth="1"/>
    <col min="13" max="13" width="14.42578125" style="102" hidden="1" customWidth="1"/>
    <col min="14" max="14" width="15.85546875" style="102" bestFit="1" customWidth="1"/>
    <col min="15" max="15" width="11.140625" style="102" bestFit="1" customWidth="1"/>
    <col min="16" max="16" width="14.42578125" style="102" bestFit="1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4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4" ht="16.5" customHeight="1" x14ac:dyDescent="0.25">
      <c r="B4" s="291" t="s">
        <v>178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4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2" t="s">
        <v>148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4" x14ac:dyDescent="0.25">
      <c r="B6" s="121" t="s">
        <v>13</v>
      </c>
      <c r="C6" s="5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4" ht="21" x14ac:dyDescent="0.35">
      <c r="B7" s="102" t="s">
        <v>15</v>
      </c>
      <c r="C7" s="125" t="s">
        <v>16</v>
      </c>
      <c r="D7" s="102" t="s">
        <v>19</v>
      </c>
      <c r="E7" s="103">
        <v>19461.365000000002</v>
      </c>
      <c r="F7" s="126">
        <v>15</v>
      </c>
      <c r="G7" s="141"/>
      <c r="H7" s="103"/>
      <c r="I7" s="103"/>
      <c r="J7" s="103"/>
      <c r="K7" s="103">
        <f>E7-I7</f>
        <v>19461.365000000002</v>
      </c>
      <c r="L7" s="103">
        <v>0</v>
      </c>
      <c r="M7" s="103"/>
      <c r="N7" s="103">
        <v>3721.35</v>
      </c>
      <c r="O7" s="103">
        <v>0.16</v>
      </c>
      <c r="P7" s="156">
        <f>ROUND(E7*0.115,2)</f>
        <v>2238.06</v>
      </c>
      <c r="Q7" s="103">
        <f>SUM(N7:P7)+G7</f>
        <v>5959.57</v>
      </c>
      <c r="R7" s="190">
        <f>K7-Q7</f>
        <v>13501.795000000002</v>
      </c>
      <c r="S7" s="29">
        <v>790.02500000000009</v>
      </c>
      <c r="T7" s="128">
        <f>+E7*17.5%+E7*3%</f>
        <v>3989.5798249999998</v>
      </c>
      <c r="U7" s="157">
        <f>ROUND(+E7*2%,2)</f>
        <v>389.23</v>
      </c>
      <c r="V7" s="129">
        <f>SUM(S7:U7)</f>
        <v>5168.8348249999999</v>
      </c>
      <c r="X7" s="169"/>
    </row>
    <row r="8" spans="2:24" ht="21" x14ac:dyDescent="0.35">
      <c r="B8" s="102" t="s">
        <v>17</v>
      </c>
      <c r="C8" s="125" t="s">
        <v>18</v>
      </c>
      <c r="D8" s="102" t="s">
        <v>2</v>
      </c>
      <c r="E8" s="103">
        <v>6247.33</v>
      </c>
      <c r="F8" s="126">
        <v>15</v>
      </c>
      <c r="G8" s="159">
        <v>1000</v>
      </c>
      <c r="H8" s="103"/>
      <c r="I8" s="130"/>
      <c r="J8" s="103"/>
      <c r="K8" s="103">
        <f>E8-I8</f>
        <v>6247.33</v>
      </c>
      <c r="L8" s="103">
        <v>0</v>
      </c>
      <c r="M8" s="103"/>
      <c r="N8" s="103">
        <v>696.21</v>
      </c>
      <c r="O8" s="103">
        <v>-0.12</v>
      </c>
      <c r="P8" s="156">
        <f>ROUND(E8*0.115,2)</f>
        <v>718.44</v>
      </c>
      <c r="Q8" s="103">
        <f>SUM(N8:P8)+G8</f>
        <v>2414.5300000000002</v>
      </c>
      <c r="R8" s="190">
        <f>K8-Q8</f>
        <v>3832.7999999999997</v>
      </c>
      <c r="S8" s="29">
        <v>396.69499999999999</v>
      </c>
      <c r="T8" s="128">
        <f>+E8*17.5%+E8*3%</f>
        <v>1280.7026499999997</v>
      </c>
      <c r="U8" s="157">
        <f>ROUND(+E8*2%,2)</f>
        <v>124.95</v>
      </c>
      <c r="V8" s="129">
        <f>SUM(S8:U8)</f>
        <v>1802.3476499999997</v>
      </c>
      <c r="X8" s="169"/>
    </row>
    <row r="9" spans="2:24" ht="18.75" x14ac:dyDescent="0.3">
      <c r="B9" s="131" t="s">
        <v>20</v>
      </c>
      <c r="C9" s="132"/>
      <c r="D9" s="133"/>
      <c r="E9" s="135">
        <f>SUM(E7:E8)</f>
        <v>25708.695</v>
      </c>
      <c r="F9" s="135"/>
      <c r="G9" s="135">
        <f>+G8+G7</f>
        <v>1000</v>
      </c>
      <c r="H9" s="135"/>
      <c r="I9" s="135">
        <f t="shared" ref="I9:V9" si="0">SUM(I7:I8)</f>
        <v>0</v>
      </c>
      <c r="J9" s="135">
        <f t="shared" si="0"/>
        <v>0</v>
      </c>
      <c r="K9" s="135">
        <f>SUM(K7:K8)</f>
        <v>25708.695</v>
      </c>
      <c r="L9" s="135">
        <f t="shared" si="0"/>
        <v>0</v>
      </c>
      <c r="M9" s="135">
        <f>SUM(M7:M8)</f>
        <v>0</v>
      </c>
      <c r="N9" s="135">
        <f>SUM(N7:N8)</f>
        <v>4417.5599999999995</v>
      </c>
      <c r="O9" s="135">
        <f t="shared" si="0"/>
        <v>4.0000000000000008E-2</v>
      </c>
      <c r="P9" s="135">
        <f>SUM(P7:P8)</f>
        <v>2956.5</v>
      </c>
      <c r="Q9" s="135">
        <f t="shared" si="0"/>
        <v>8374.1</v>
      </c>
      <c r="R9" s="135">
        <f>ROUND(SUM(R7:R8),1)</f>
        <v>17334.599999999999</v>
      </c>
      <c r="S9" s="135">
        <f>SUM(S7:S8)</f>
        <v>1186.72</v>
      </c>
      <c r="T9" s="135">
        <f t="shared" si="0"/>
        <v>5270.282475</v>
      </c>
      <c r="U9" s="135">
        <f>SUM(U7:U8)</f>
        <v>514.18000000000006</v>
      </c>
      <c r="V9" s="135">
        <f t="shared" si="0"/>
        <v>6971.1824749999996</v>
      </c>
      <c r="X9" s="169"/>
    </row>
    <row r="10" spans="2:24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4" ht="18.75" x14ac:dyDescent="0.3">
      <c r="B11" s="138" t="s">
        <v>21</v>
      </c>
      <c r="C11" s="31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4" ht="21" x14ac:dyDescent="0.35">
      <c r="B12" s="102" t="s">
        <v>23</v>
      </c>
      <c r="C12" s="125" t="s">
        <v>28</v>
      </c>
      <c r="D12" s="102" t="s">
        <v>114</v>
      </c>
      <c r="E12" s="103">
        <v>13000</v>
      </c>
      <c r="F12" s="126">
        <v>15</v>
      </c>
      <c r="G12" s="159">
        <v>3394</v>
      </c>
      <c r="H12" s="103"/>
      <c r="I12" s="103"/>
      <c r="J12" s="103"/>
      <c r="K12" s="103">
        <f t="shared" ref="K12:K18" si="1">E12-I12</f>
        <v>13000</v>
      </c>
      <c r="L12" s="103">
        <v>0</v>
      </c>
      <c r="M12" s="103"/>
      <c r="N12" s="103">
        <v>2161.23</v>
      </c>
      <c r="O12" s="103">
        <v>-0.03</v>
      </c>
      <c r="P12" s="156">
        <f t="shared" ref="P12:P19" si="2">ROUND(E12*0.115,2)</f>
        <v>1495</v>
      </c>
      <c r="Q12" s="103">
        <f t="shared" ref="Q12:Q19" si="3">SUM(N12:P12)+G12</f>
        <v>7050.2</v>
      </c>
      <c r="R12" s="190">
        <f t="shared" ref="R12:R19" si="4">K12-Q12</f>
        <v>5949.8</v>
      </c>
      <c r="S12" s="29">
        <v>597.69499999999994</v>
      </c>
      <c r="T12" s="128">
        <f>ROUND(+E12*17.5%,2)+ROUND(E12*3%,2)</f>
        <v>2665</v>
      </c>
      <c r="U12" s="157">
        <f t="shared" ref="U12:U19" si="5">ROUND(+E12*2%,2)</f>
        <v>260</v>
      </c>
      <c r="V12" s="129">
        <f t="shared" ref="V12:V19" si="6">SUM(S12:U12)</f>
        <v>3522.6949999999997</v>
      </c>
      <c r="X12" s="169"/>
    </row>
    <row r="13" spans="2:24" ht="21" x14ac:dyDescent="0.35">
      <c r="B13" s="102" t="s">
        <v>24</v>
      </c>
      <c r="C13" s="125" t="s">
        <v>29</v>
      </c>
      <c r="D13" s="102" t="s">
        <v>116</v>
      </c>
      <c r="E13" s="103">
        <v>7000.8</v>
      </c>
      <c r="F13" s="126">
        <v>15</v>
      </c>
      <c r="G13" s="159">
        <v>2129.5700000000002</v>
      </c>
      <c r="H13" s="103"/>
      <c r="I13" s="139"/>
      <c r="J13" s="140"/>
      <c r="K13" s="103">
        <f>E13-I13</f>
        <v>7000.8</v>
      </c>
      <c r="L13" s="103">
        <v>0</v>
      </c>
      <c r="M13" s="103"/>
      <c r="N13" s="103">
        <v>857.15</v>
      </c>
      <c r="O13" s="103">
        <v>-0.01</v>
      </c>
      <c r="P13" s="156">
        <f t="shared" si="2"/>
        <v>805.09</v>
      </c>
      <c r="Q13" s="103">
        <f t="shared" si="3"/>
        <v>3791.8</v>
      </c>
      <c r="R13" s="190">
        <f t="shared" si="4"/>
        <v>3209</v>
      </c>
      <c r="S13" s="29">
        <v>419.125</v>
      </c>
      <c r="T13" s="128">
        <f t="shared" ref="T13:T19" si="7">ROUND(+E13*17.5%,2)+ROUND(E13*3%,2)</f>
        <v>1435.16</v>
      </c>
      <c r="U13" s="157">
        <f t="shared" si="5"/>
        <v>140.02000000000001</v>
      </c>
      <c r="V13" s="129">
        <f t="shared" si="6"/>
        <v>1994.3050000000001</v>
      </c>
      <c r="X13" s="169"/>
    </row>
    <row r="14" spans="2:24" ht="21" x14ac:dyDescent="0.35">
      <c r="B14" s="102" t="s">
        <v>25</v>
      </c>
      <c r="C14" s="30" t="s">
        <v>174</v>
      </c>
      <c r="D14" s="102" t="s">
        <v>115</v>
      </c>
      <c r="E14" s="103">
        <v>7000.8</v>
      </c>
      <c r="F14" s="126">
        <v>15</v>
      </c>
      <c r="G14" s="159">
        <v>1330.99</v>
      </c>
      <c r="H14" s="141"/>
      <c r="I14" s="139"/>
      <c r="J14" s="140"/>
      <c r="K14" s="103">
        <f>E14-I14</f>
        <v>7000.8</v>
      </c>
      <c r="L14" s="103">
        <v>0</v>
      </c>
      <c r="M14" s="103"/>
      <c r="N14" s="103">
        <v>857.15</v>
      </c>
      <c r="O14" s="103">
        <v>-0.03</v>
      </c>
      <c r="P14" s="156">
        <f>ROUND(E14*0.115,2)</f>
        <v>805.09</v>
      </c>
      <c r="Q14" s="103">
        <f>SUM(N14:P14)+G14</f>
        <v>2993.2</v>
      </c>
      <c r="R14" s="190">
        <f>K14-Q14</f>
        <v>4007.6000000000004</v>
      </c>
      <c r="S14" s="29">
        <v>419.125</v>
      </c>
      <c r="T14" s="128">
        <f t="shared" si="7"/>
        <v>1435.16</v>
      </c>
      <c r="U14" s="157">
        <f t="shared" si="5"/>
        <v>140.02000000000001</v>
      </c>
      <c r="V14" s="129">
        <f t="shared" si="6"/>
        <v>1994.3050000000001</v>
      </c>
      <c r="X14" s="169"/>
    </row>
    <row r="15" spans="2:24" ht="21" x14ac:dyDescent="0.35">
      <c r="B15" s="102" t="s">
        <v>26</v>
      </c>
      <c r="C15" s="125" t="s">
        <v>58</v>
      </c>
      <c r="D15" s="102" t="s">
        <v>37</v>
      </c>
      <c r="E15" s="103">
        <v>7443.8</v>
      </c>
      <c r="F15" s="126">
        <v>15</v>
      </c>
      <c r="G15" s="103"/>
      <c r="H15" s="103"/>
      <c r="I15" s="139"/>
      <c r="J15" s="103"/>
      <c r="K15" s="103">
        <f t="shared" si="1"/>
        <v>7443.8</v>
      </c>
      <c r="L15" s="103">
        <v>0</v>
      </c>
      <c r="M15" s="103"/>
      <c r="N15" s="103">
        <v>951.78</v>
      </c>
      <c r="O15" s="103">
        <v>-0.02</v>
      </c>
      <c r="P15" s="156">
        <f t="shared" si="2"/>
        <v>856.04</v>
      </c>
      <c r="Q15" s="103">
        <f t="shared" si="3"/>
        <v>1807.8</v>
      </c>
      <c r="R15" s="190">
        <f t="shared" si="4"/>
        <v>5636</v>
      </c>
      <c r="S15" s="29">
        <v>432.30499999999995</v>
      </c>
      <c r="T15" s="128">
        <f t="shared" si="7"/>
        <v>1525.98</v>
      </c>
      <c r="U15" s="157">
        <f t="shared" si="5"/>
        <v>148.88</v>
      </c>
      <c r="V15" s="129">
        <f t="shared" si="6"/>
        <v>2107.165</v>
      </c>
      <c r="X15" s="169"/>
    </row>
    <row r="16" spans="2:24" ht="21" x14ac:dyDescent="0.35">
      <c r="B16" s="102" t="s">
        <v>27</v>
      </c>
      <c r="C16" s="125" t="s">
        <v>40</v>
      </c>
      <c r="D16" s="102" t="s">
        <v>117</v>
      </c>
      <c r="E16" s="103">
        <v>4918.3649999999998</v>
      </c>
      <c r="F16" s="126">
        <v>15</v>
      </c>
      <c r="G16" s="159">
        <v>2050</v>
      </c>
      <c r="H16" s="103"/>
      <c r="I16" s="139"/>
      <c r="J16" s="103"/>
      <c r="K16" s="103">
        <f>E16-I16</f>
        <v>4918.3649999999998</v>
      </c>
      <c r="L16" s="103">
        <v>0</v>
      </c>
      <c r="M16" s="103"/>
      <c r="N16" s="103">
        <v>447.61</v>
      </c>
      <c r="O16" s="103">
        <v>0.15</v>
      </c>
      <c r="P16" s="156">
        <f>ROUND(E16*0.115,2)</f>
        <v>565.61</v>
      </c>
      <c r="Q16" s="103">
        <f>SUM(N16:P16)+G16</f>
        <v>3063.37</v>
      </c>
      <c r="R16" s="190">
        <f t="shared" si="4"/>
        <v>1854.9949999999999</v>
      </c>
      <c r="S16" s="29">
        <v>361.11500000000001</v>
      </c>
      <c r="T16" s="128">
        <f t="shared" si="7"/>
        <v>1008.26</v>
      </c>
      <c r="U16" s="157">
        <f t="shared" si="5"/>
        <v>98.37</v>
      </c>
      <c r="V16" s="129">
        <f t="shared" si="6"/>
        <v>1467.7449999999999</v>
      </c>
      <c r="X16" s="169"/>
    </row>
    <row r="17" spans="2:24" ht="21" x14ac:dyDescent="0.35">
      <c r="B17" s="102" t="s">
        <v>60</v>
      </c>
      <c r="C17" s="125" t="s">
        <v>41</v>
      </c>
      <c r="D17" s="102" t="s">
        <v>118</v>
      </c>
      <c r="E17" s="103">
        <v>4918.3649999999998</v>
      </c>
      <c r="F17" s="126">
        <v>15</v>
      </c>
      <c r="G17" s="159">
        <v>1676.62</v>
      </c>
      <c r="H17" s="103"/>
      <c r="I17" s="139"/>
      <c r="J17" s="103"/>
      <c r="K17" s="103">
        <f>E17-I17</f>
        <v>4918.3649999999998</v>
      </c>
      <c r="L17" s="103">
        <v>0</v>
      </c>
      <c r="M17" s="103"/>
      <c r="N17" s="103">
        <v>447.61</v>
      </c>
      <c r="O17" s="103">
        <v>-7.0000000000000007E-2</v>
      </c>
      <c r="P17" s="156">
        <f t="shared" si="2"/>
        <v>565.61</v>
      </c>
      <c r="Q17" s="103">
        <f>SUM(N17:P17)+G17</f>
        <v>2689.77</v>
      </c>
      <c r="R17" s="190">
        <f>K17-Q17</f>
        <v>2228.5949999999998</v>
      </c>
      <c r="S17" s="29">
        <v>361.11500000000001</v>
      </c>
      <c r="T17" s="128">
        <f t="shared" si="7"/>
        <v>1008.26</v>
      </c>
      <c r="U17" s="157">
        <f t="shared" si="5"/>
        <v>98.37</v>
      </c>
      <c r="V17" s="129">
        <f t="shared" si="6"/>
        <v>1467.7449999999999</v>
      </c>
      <c r="X17" s="169"/>
    </row>
    <row r="18" spans="2:24" ht="21" x14ac:dyDescent="0.35">
      <c r="B18" s="102" t="s">
        <v>61</v>
      </c>
      <c r="C18" s="125" t="s">
        <v>43</v>
      </c>
      <c r="D18" s="102" t="s">
        <v>3</v>
      </c>
      <c r="E18" s="103">
        <v>4358.17</v>
      </c>
      <c r="F18" s="126">
        <v>15</v>
      </c>
      <c r="G18" s="159">
        <v>1211</v>
      </c>
      <c r="H18" s="103"/>
      <c r="I18" s="32"/>
      <c r="J18" s="103"/>
      <c r="K18" s="103">
        <f t="shared" si="1"/>
        <v>4358.17</v>
      </c>
      <c r="L18" s="103"/>
      <c r="M18" s="103"/>
      <c r="N18" s="103">
        <v>357.97</v>
      </c>
      <c r="O18" s="103">
        <v>0.01</v>
      </c>
      <c r="P18" s="156">
        <f t="shared" si="2"/>
        <v>501.19</v>
      </c>
      <c r="Q18" s="103">
        <f t="shared" si="3"/>
        <v>2070.17</v>
      </c>
      <c r="R18" s="190">
        <f t="shared" si="4"/>
        <v>2288</v>
      </c>
      <c r="S18" s="29">
        <v>312.95</v>
      </c>
      <c r="T18" s="128">
        <f t="shared" si="7"/>
        <v>893.43</v>
      </c>
      <c r="U18" s="157">
        <f t="shared" si="5"/>
        <v>87.16</v>
      </c>
      <c r="V18" s="129">
        <f t="shared" si="6"/>
        <v>1293.54</v>
      </c>
      <c r="X18" s="169"/>
    </row>
    <row r="19" spans="2:24" ht="21" x14ac:dyDescent="0.35">
      <c r="B19" s="102" t="s">
        <v>62</v>
      </c>
      <c r="C19" s="125" t="s">
        <v>42</v>
      </c>
      <c r="D19" s="102" t="s">
        <v>119</v>
      </c>
      <c r="E19" s="103">
        <v>4918.3649999999998</v>
      </c>
      <c r="F19" s="126">
        <v>15</v>
      </c>
      <c r="G19" s="159">
        <v>1213.4000000000001</v>
      </c>
      <c r="H19" s="130"/>
      <c r="I19" s="139"/>
      <c r="J19" s="103"/>
      <c r="K19" s="103">
        <f>E19-I19+H19</f>
        <v>4918.3649999999998</v>
      </c>
      <c r="L19" s="103"/>
      <c r="M19" s="103"/>
      <c r="N19" s="103">
        <v>447.61</v>
      </c>
      <c r="O19" s="103">
        <v>-0.05</v>
      </c>
      <c r="P19" s="156">
        <f t="shared" si="2"/>
        <v>565.61</v>
      </c>
      <c r="Q19" s="103">
        <f t="shared" si="3"/>
        <v>2226.5700000000002</v>
      </c>
      <c r="R19" s="190">
        <f t="shared" si="4"/>
        <v>2691.7949999999996</v>
      </c>
      <c r="S19" s="29">
        <v>361.11500000000001</v>
      </c>
      <c r="T19" s="128">
        <f t="shared" si="7"/>
        <v>1008.26</v>
      </c>
      <c r="U19" s="157">
        <f t="shared" si="5"/>
        <v>98.37</v>
      </c>
      <c r="V19" s="129">
        <f t="shared" si="6"/>
        <v>1467.7449999999999</v>
      </c>
      <c r="X19" s="169"/>
    </row>
    <row r="20" spans="2:24" ht="18.75" x14ac:dyDescent="0.3">
      <c r="B20" s="138" t="s">
        <v>20</v>
      </c>
      <c r="C20" s="194"/>
      <c r="D20" s="133"/>
      <c r="E20" s="135">
        <f>SUM(E12:E19)</f>
        <v>53558.664999999994</v>
      </c>
      <c r="F20" s="135"/>
      <c r="G20" s="135">
        <f>+G19+G18+G17+G16+G12+G13+G14</f>
        <v>13005.58</v>
      </c>
      <c r="H20" s="135"/>
      <c r="I20" s="135">
        <f t="shared" ref="I20:V20" si="8">SUM(I12:I19)</f>
        <v>0</v>
      </c>
      <c r="J20" s="135">
        <f t="shared" si="8"/>
        <v>0</v>
      </c>
      <c r="K20" s="135">
        <f>SUM(K12:K19)</f>
        <v>53558.664999999994</v>
      </c>
      <c r="L20" s="135">
        <f t="shared" ref="L20" si="9">SUM(L12:L19)</f>
        <v>0</v>
      </c>
      <c r="M20" s="135">
        <f>SUM(M12:M19)</f>
        <v>0</v>
      </c>
      <c r="N20" s="135">
        <f>SUM(N12:N19)</f>
        <v>6528.11</v>
      </c>
      <c r="O20" s="135">
        <f t="shared" si="8"/>
        <v>-5.0000000000000024E-2</v>
      </c>
      <c r="P20" s="135">
        <f>SUM(P12:P19)</f>
        <v>6159.2399999999989</v>
      </c>
      <c r="Q20" s="135">
        <f t="shared" si="8"/>
        <v>25692.879999999997</v>
      </c>
      <c r="R20" s="135">
        <f>ROUND(SUM(R12:R19),1)</f>
        <v>27865.8</v>
      </c>
      <c r="S20" s="135">
        <f>SUM(S12:S19)</f>
        <v>3264.5449999999992</v>
      </c>
      <c r="T20" s="135">
        <f t="shared" si="8"/>
        <v>10979.51</v>
      </c>
      <c r="U20" s="135">
        <f>SUM(U12:U19)</f>
        <v>1071.19</v>
      </c>
      <c r="V20" s="135">
        <f t="shared" si="8"/>
        <v>15315.244999999999</v>
      </c>
      <c r="X20" s="169"/>
    </row>
    <row r="21" spans="2:24" ht="18.75" hidden="1" x14ac:dyDescent="0.3">
      <c r="B21" s="138"/>
      <c r="C21" s="136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37"/>
      <c r="X21" s="169"/>
    </row>
    <row r="22" spans="2:24" ht="18.75" x14ac:dyDescent="0.3">
      <c r="B22" s="138" t="s">
        <v>31</v>
      </c>
      <c r="C22" s="31" t="s">
        <v>83</v>
      </c>
      <c r="E22" s="103"/>
      <c r="F22" s="103"/>
      <c r="G22" s="103"/>
      <c r="H22" s="103"/>
      <c r="I22" s="103"/>
      <c r="J22" s="103"/>
      <c r="K22" s="142"/>
      <c r="L22" s="142"/>
      <c r="M22" s="103"/>
      <c r="N22" s="103"/>
      <c r="O22" s="103"/>
      <c r="P22" s="103"/>
      <c r="Q22" s="103"/>
      <c r="R22" s="137"/>
      <c r="X22" s="169"/>
    </row>
    <row r="23" spans="2:24" ht="21" x14ac:dyDescent="0.35">
      <c r="B23" s="102" t="s">
        <v>63</v>
      </c>
      <c r="C23" s="125" t="s">
        <v>110</v>
      </c>
      <c r="D23" s="158" t="s">
        <v>132</v>
      </c>
      <c r="E23" s="103">
        <v>7000.8</v>
      </c>
      <c r="F23" s="126">
        <v>15</v>
      </c>
      <c r="G23" s="103"/>
      <c r="H23" s="103"/>
      <c r="I23" s="103"/>
      <c r="J23" s="103"/>
      <c r="K23" s="103">
        <f>E23-I23</f>
        <v>7000.8</v>
      </c>
      <c r="L23" s="103">
        <v>0</v>
      </c>
      <c r="M23" s="103"/>
      <c r="N23" s="103">
        <v>857.15</v>
      </c>
      <c r="O23" s="103">
        <v>-0.04</v>
      </c>
      <c r="P23" s="156">
        <f>ROUND(E23*0.115,2)</f>
        <v>805.09</v>
      </c>
      <c r="Q23" s="103">
        <f t="shared" ref="Q23:Q24" si="10">SUM(N23:P23)+G23</f>
        <v>1662.2</v>
      </c>
      <c r="R23" s="190">
        <f>K23-Q23</f>
        <v>5338.6</v>
      </c>
      <c r="S23" s="170">
        <v>419.125</v>
      </c>
      <c r="T23" s="128">
        <f t="shared" ref="T23:T26" si="11">ROUND(+E23*17.5%,2)+ROUND(E23*3%,2)</f>
        <v>1435.16</v>
      </c>
      <c r="U23" s="157">
        <f t="shared" ref="U23:U26" si="12">ROUND(+E23*2%,2)</f>
        <v>140.02000000000001</v>
      </c>
      <c r="V23" s="129">
        <f t="shared" ref="V23:V24" si="13">SUM(S23:U23)</f>
        <v>1994.3050000000001</v>
      </c>
      <c r="X23" s="169"/>
    </row>
    <row r="24" spans="2:24" ht="21" x14ac:dyDescent="0.35">
      <c r="B24" s="102" t="s">
        <v>112</v>
      </c>
      <c r="C24" s="125" t="s">
        <v>113</v>
      </c>
      <c r="D24" s="158" t="s">
        <v>133</v>
      </c>
      <c r="E24" s="103">
        <v>7000.8</v>
      </c>
      <c r="F24" s="126">
        <v>15</v>
      </c>
      <c r="G24" s="103"/>
      <c r="H24" s="103"/>
      <c r="I24" s="139"/>
      <c r="J24" s="103"/>
      <c r="K24" s="103">
        <f>E24-I24</f>
        <v>7000.8</v>
      </c>
      <c r="L24" s="103">
        <v>0</v>
      </c>
      <c r="M24" s="103"/>
      <c r="N24" s="103">
        <v>857.15</v>
      </c>
      <c r="O24" s="103">
        <v>-0.04</v>
      </c>
      <c r="P24" s="156">
        <f>ROUND(E24*0.115,2)</f>
        <v>805.09</v>
      </c>
      <c r="Q24" s="103">
        <f t="shared" si="10"/>
        <v>1662.2</v>
      </c>
      <c r="R24" s="190">
        <f>K24-Q24</f>
        <v>5338.6</v>
      </c>
      <c r="S24" s="170">
        <v>419.125</v>
      </c>
      <c r="T24" s="128">
        <f t="shared" si="11"/>
        <v>1435.16</v>
      </c>
      <c r="U24" s="157">
        <f t="shared" si="12"/>
        <v>140.02000000000001</v>
      </c>
      <c r="V24" s="129">
        <f t="shared" si="13"/>
        <v>1994.3050000000001</v>
      </c>
      <c r="X24" s="169"/>
    </row>
    <row r="25" spans="2:24" ht="21" x14ac:dyDescent="0.35">
      <c r="B25" s="102" t="s">
        <v>64</v>
      </c>
      <c r="C25" s="125" t="s">
        <v>45</v>
      </c>
      <c r="D25" s="102" t="s">
        <v>122</v>
      </c>
      <c r="E25" s="103">
        <v>7000.8</v>
      </c>
      <c r="F25" s="126">
        <v>15</v>
      </c>
      <c r="G25" s="141"/>
      <c r="H25" s="103"/>
      <c r="I25" s="143"/>
      <c r="J25" s="103"/>
      <c r="K25" s="103">
        <f>E25-I25</f>
        <v>7000.8</v>
      </c>
      <c r="L25" s="103">
        <v>0</v>
      </c>
      <c r="M25" s="103"/>
      <c r="N25" s="103">
        <v>857.15</v>
      </c>
      <c r="O25" s="103">
        <v>-0.04</v>
      </c>
      <c r="P25" s="156">
        <f>ROUND(E25*0.115,2)</f>
        <v>805.09</v>
      </c>
      <c r="Q25" s="103">
        <f>SUM(N25:P25)+G25</f>
        <v>1662.2</v>
      </c>
      <c r="R25" s="190">
        <f>K25-Q25</f>
        <v>5338.6</v>
      </c>
      <c r="S25" s="170">
        <v>419.125</v>
      </c>
      <c r="T25" s="128">
        <f t="shared" si="11"/>
        <v>1435.16</v>
      </c>
      <c r="U25" s="157">
        <f t="shared" si="12"/>
        <v>140.02000000000001</v>
      </c>
      <c r="V25" s="129">
        <f>SUM(S25:U25)</f>
        <v>1994.3050000000001</v>
      </c>
      <c r="X25" s="169"/>
    </row>
    <row r="26" spans="2:24" ht="21" x14ac:dyDescent="0.35">
      <c r="B26" s="102" t="s">
        <v>65</v>
      </c>
      <c r="C26" s="125" t="s">
        <v>59</v>
      </c>
      <c r="D26" s="158" t="s">
        <v>134</v>
      </c>
      <c r="E26" s="103">
        <v>7000.8</v>
      </c>
      <c r="F26" s="126">
        <v>15</v>
      </c>
      <c r="G26" s="159">
        <v>1189</v>
      </c>
      <c r="H26" s="130"/>
      <c r="I26" s="130"/>
      <c r="J26" s="103"/>
      <c r="K26" s="103">
        <f>E26-I26+H26</f>
        <v>7000.8</v>
      </c>
      <c r="L26" s="103">
        <v>0</v>
      </c>
      <c r="M26" s="103"/>
      <c r="N26" s="103">
        <v>857.15</v>
      </c>
      <c r="O26" s="103">
        <v>-0.04</v>
      </c>
      <c r="P26" s="156">
        <f>ROUND(E26*0.115,2)</f>
        <v>805.09</v>
      </c>
      <c r="Q26" s="103">
        <f>SUM(N26:P26)+G26</f>
        <v>2851.2</v>
      </c>
      <c r="R26" s="190">
        <f>K26-Q26</f>
        <v>4149.6000000000004</v>
      </c>
      <c r="S26" s="170">
        <v>419.125</v>
      </c>
      <c r="T26" s="128">
        <f t="shared" si="11"/>
        <v>1435.16</v>
      </c>
      <c r="U26" s="157">
        <f t="shared" si="12"/>
        <v>140.02000000000001</v>
      </c>
      <c r="V26" s="129">
        <f>SUM(S26:U26)</f>
        <v>1994.3050000000001</v>
      </c>
      <c r="X26" s="169"/>
    </row>
    <row r="27" spans="2:24" ht="18.75" x14ac:dyDescent="0.3">
      <c r="B27" s="138" t="s">
        <v>20</v>
      </c>
      <c r="C27" s="132"/>
      <c r="D27" s="133"/>
      <c r="E27" s="135">
        <f>SUM(E23:E26)</f>
        <v>28003.200000000001</v>
      </c>
      <c r="F27" s="135"/>
      <c r="G27" s="135">
        <f>+G26+G25+G23+G24</f>
        <v>1189</v>
      </c>
      <c r="H27" s="135"/>
      <c r="I27" s="135">
        <f t="shared" ref="I27:J27" si="14">SUM(I23:I26)</f>
        <v>0</v>
      </c>
      <c r="J27" s="135">
        <f t="shared" si="14"/>
        <v>0</v>
      </c>
      <c r="K27" s="135">
        <f>SUM(K23:K26)</f>
        <v>28003.200000000001</v>
      </c>
      <c r="L27" s="135">
        <f t="shared" ref="L27" si="15">SUM(L23:L26)</f>
        <v>0</v>
      </c>
      <c r="M27" s="135">
        <f>SUM(M23:M26)</f>
        <v>0</v>
      </c>
      <c r="N27" s="135">
        <f>SUM(N23:N26)</f>
        <v>3428.6</v>
      </c>
      <c r="O27" s="135">
        <f t="shared" ref="O27:Q27" si="16">SUM(O23:O26)</f>
        <v>-0.16</v>
      </c>
      <c r="P27" s="135">
        <f>SUM(P23:P26)</f>
        <v>3220.36</v>
      </c>
      <c r="Q27" s="135">
        <f t="shared" si="16"/>
        <v>7837.8</v>
      </c>
      <c r="R27" s="135">
        <f>ROUND(SUM(R23:R26),1)</f>
        <v>20165.400000000001</v>
      </c>
      <c r="S27" s="135">
        <f>SUM(S23:S26)</f>
        <v>1676.5</v>
      </c>
      <c r="T27" s="135">
        <f>SUM(T23:T26)</f>
        <v>5740.64</v>
      </c>
      <c r="U27" s="135">
        <f>SUM(U23:U26)</f>
        <v>560.08000000000004</v>
      </c>
      <c r="V27" s="135">
        <f>SUM(V23:V26)</f>
        <v>7977.22</v>
      </c>
      <c r="X27" s="169"/>
    </row>
    <row r="28" spans="2:24" ht="18.75" hidden="1" x14ac:dyDescent="0.3">
      <c r="C28" s="136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37"/>
      <c r="X28" s="169"/>
    </row>
    <row r="29" spans="2:24" ht="18.75" x14ac:dyDescent="0.3">
      <c r="B29" s="138" t="s">
        <v>33</v>
      </c>
      <c r="C29" s="31" t="s">
        <v>32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37"/>
      <c r="X29" s="169"/>
    </row>
    <row r="30" spans="2:24" ht="21" x14ac:dyDescent="0.35">
      <c r="B30" s="102" t="s">
        <v>66</v>
      </c>
      <c r="C30" s="125" t="s">
        <v>49</v>
      </c>
      <c r="D30" s="158" t="s">
        <v>128</v>
      </c>
      <c r="E30" s="103">
        <v>7000.8</v>
      </c>
      <c r="F30" s="126">
        <v>15</v>
      </c>
      <c r="G30" s="103"/>
      <c r="H30" s="103"/>
      <c r="I30" s="144"/>
      <c r="J30" s="103"/>
      <c r="K30" s="103">
        <f t="shared" ref="K30:K44" si="17">E30-I30</f>
        <v>7000.8</v>
      </c>
      <c r="L30" s="103">
        <v>0</v>
      </c>
      <c r="M30" s="103"/>
      <c r="N30" s="103">
        <v>857.15</v>
      </c>
      <c r="O30" s="103">
        <v>-0.04</v>
      </c>
      <c r="P30" s="156">
        <f>ROUND(E30*0.115,2)</f>
        <v>805.09</v>
      </c>
      <c r="Q30" s="103">
        <f t="shared" ref="Q30:Q40" si="18">SUM(N30:P30)+G30</f>
        <v>1662.2</v>
      </c>
      <c r="R30" s="190">
        <f t="shared" ref="R30:R44" si="19">K30-Q30</f>
        <v>5338.6</v>
      </c>
      <c r="S30" s="170">
        <v>419.125</v>
      </c>
      <c r="T30" s="128">
        <f t="shared" ref="T30:T40" si="20">ROUND(+E30*17.5%,2)+ROUND(E30*3%,2)</f>
        <v>1435.16</v>
      </c>
      <c r="U30" s="157">
        <f t="shared" ref="U30:U40" si="21">ROUND(+E30*2%,2)</f>
        <v>140.02000000000001</v>
      </c>
      <c r="V30" s="129">
        <f>SUM(S30:U30)</f>
        <v>1994.3050000000001</v>
      </c>
      <c r="X30" s="169"/>
    </row>
    <row r="31" spans="2:24" ht="21" x14ac:dyDescent="0.35">
      <c r="B31" s="102" t="s">
        <v>67</v>
      </c>
      <c r="C31" s="125" t="s">
        <v>51</v>
      </c>
      <c r="D31" s="158" t="s">
        <v>135</v>
      </c>
      <c r="E31" s="103">
        <v>7000.8</v>
      </c>
      <c r="F31" s="126">
        <v>15</v>
      </c>
      <c r="G31" s="141"/>
      <c r="H31" s="103"/>
      <c r="I31" s="130"/>
      <c r="J31" s="141"/>
      <c r="K31" s="141">
        <f t="shared" si="17"/>
        <v>7000.8</v>
      </c>
      <c r="L31" s="141">
        <v>0</v>
      </c>
      <c r="M31" s="103"/>
      <c r="N31" s="103">
        <v>857.15</v>
      </c>
      <c r="O31" s="103">
        <v>-0.04</v>
      </c>
      <c r="P31" s="156">
        <f t="shared" ref="P31:P40" si="22">ROUND(E31*0.115,2)</f>
        <v>805.09</v>
      </c>
      <c r="Q31" s="103">
        <f>SUM(N31:P31)+G31</f>
        <v>1662.2</v>
      </c>
      <c r="R31" s="190">
        <f t="shared" si="19"/>
        <v>5338.6</v>
      </c>
      <c r="S31" s="170">
        <v>419.125</v>
      </c>
      <c r="T31" s="128">
        <f t="shared" si="20"/>
        <v>1435.16</v>
      </c>
      <c r="U31" s="157">
        <f t="shared" si="21"/>
        <v>140.02000000000001</v>
      </c>
      <c r="V31" s="129">
        <f>SUM(S31:U31)</f>
        <v>1994.3050000000001</v>
      </c>
      <c r="X31" s="169"/>
    </row>
    <row r="32" spans="2:24" ht="21" x14ac:dyDescent="0.35">
      <c r="B32" s="102" t="s">
        <v>68</v>
      </c>
      <c r="C32" s="125" t="s">
        <v>48</v>
      </c>
      <c r="D32" s="102" t="s">
        <v>123</v>
      </c>
      <c r="E32" s="103">
        <v>7443.8</v>
      </c>
      <c r="F32" s="126">
        <v>15</v>
      </c>
      <c r="G32" s="103"/>
      <c r="H32" s="103"/>
      <c r="I32" s="130"/>
      <c r="J32" s="103"/>
      <c r="K32" s="103">
        <f t="shared" si="17"/>
        <v>7443.8</v>
      </c>
      <c r="L32" s="103">
        <v>0</v>
      </c>
      <c r="M32" s="103"/>
      <c r="N32" s="103">
        <v>951.78</v>
      </c>
      <c r="O32" s="103">
        <v>-0.02</v>
      </c>
      <c r="P32" s="156">
        <f t="shared" si="22"/>
        <v>856.04</v>
      </c>
      <c r="Q32" s="103">
        <f t="shared" si="18"/>
        <v>1807.8</v>
      </c>
      <c r="R32" s="190">
        <f t="shared" si="19"/>
        <v>5636</v>
      </c>
      <c r="S32" s="170">
        <v>432.30499999999995</v>
      </c>
      <c r="T32" s="128">
        <f t="shared" si="20"/>
        <v>1525.98</v>
      </c>
      <c r="U32" s="157">
        <f>ROUND(+E32*2%,2)</f>
        <v>148.88</v>
      </c>
      <c r="V32" s="129">
        <f t="shared" ref="V32:V40" si="23">SUM(S32:U32)</f>
        <v>2107.165</v>
      </c>
      <c r="X32" s="169"/>
    </row>
    <row r="33" spans="2:24" ht="21" x14ac:dyDescent="0.35">
      <c r="B33" s="102" t="s">
        <v>77</v>
      </c>
      <c r="C33" s="125" t="s">
        <v>111</v>
      </c>
      <c r="D33" s="102" t="s">
        <v>127</v>
      </c>
      <c r="E33" s="103">
        <v>7000.8</v>
      </c>
      <c r="F33" s="126">
        <v>15</v>
      </c>
      <c r="G33" s="159">
        <v>1167</v>
      </c>
      <c r="H33" s="103"/>
      <c r="I33" s="144"/>
      <c r="J33" s="103"/>
      <c r="K33" s="103">
        <f>E33-I33</f>
        <v>7000.8</v>
      </c>
      <c r="L33" s="103">
        <v>0</v>
      </c>
      <c r="M33" s="103"/>
      <c r="N33" s="103">
        <v>857.15</v>
      </c>
      <c r="O33" s="103">
        <v>-0.04</v>
      </c>
      <c r="P33" s="156">
        <f t="shared" si="22"/>
        <v>805.09</v>
      </c>
      <c r="Q33" s="103">
        <f>SUM(N33:P33)+G33</f>
        <v>2829.2</v>
      </c>
      <c r="R33" s="190">
        <f>K33-Q33</f>
        <v>4171.6000000000004</v>
      </c>
      <c r="S33" s="170">
        <v>419.125</v>
      </c>
      <c r="T33" s="128">
        <f t="shared" si="20"/>
        <v>1435.16</v>
      </c>
      <c r="U33" s="157">
        <f t="shared" si="21"/>
        <v>140.02000000000001</v>
      </c>
      <c r="V33" s="129">
        <f t="shared" si="23"/>
        <v>1994.3050000000001</v>
      </c>
      <c r="X33" s="169"/>
    </row>
    <row r="34" spans="2:24" ht="21" x14ac:dyDescent="0.35">
      <c r="B34" s="102" t="s">
        <v>70</v>
      </c>
      <c r="C34" s="125" t="s">
        <v>46</v>
      </c>
      <c r="D34" s="102" t="s">
        <v>124</v>
      </c>
      <c r="E34" s="103">
        <v>7000.8</v>
      </c>
      <c r="F34" s="126">
        <v>15</v>
      </c>
      <c r="G34" s="159">
        <v>572.98</v>
      </c>
      <c r="H34" s="103"/>
      <c r="I34" s="139"/>
      <c r="J34" s="141"/>
      <c r="K34" s="141">
        <f t="shared" si="17"/>
        <v>7000.8</v>
      </c>
      <c r="L34" s="141">
        <v>0</v>
      </c>
      <c r="M34" s="103"/>
      <c r="N34" s="103">
        <v>857.15</v>
      </c>
      <c r="O34" s="103">
        <v>0.18</v>
      </c>
      <c r="P34" s="156">
        <f t="shared" si="22"/>
        <v>805.09</v>
      </c>
      <c r="Q34" s="103">
        <f t="shared" si="18"/>
        <v>2235.4</v>
      </c>
      <c r="R34" s="190">
        <f t="shared" si="19"/>
        <v>4765.3999999999996</v>
      </c>
      <c r="S34" s="170">
        <v>419.125</v>
      </c>
      <c r="T34" s="128">
        <f t="shared" si="20"/>
        <v>1435.16</v>
      </c>
      <c r="U34" s="157">
        <f t="shared" si="21"/>
        <v>140.02000000000001</v>
      </c>
      <c r="V34" s="129">
        <f t="shared" si="23"/>
        <v>1994.3050000000001</v>
      </c>
      <c r="X34" s="169"/>
    </row>
    <row r="35" spans="2:24" ht="21" x14ac:dyDescent="0.35">
      <c r="B35" s="102" t="s">
        <v>71</v>
      </c>
      <c r="C35" s="125" t="s">
        <v>50</v>
      </c>
      <c r="D35" s="102" t="s">
        <v>124</v>
      </c>
      <c r="E35" s="103">
        <v>7000.8</v>
      </c>
      <c r="F35" s="126">
        <v>15</v>
      </c>
      <c r="G35" s="103"/>
      <c r="H35" s="141"/>
      <c r="I35" s="130"/>
      <c r="J35" s="141"/>
      <c r="K35" s="141">
        <f t="shared" si="17"/>
        <v>7000.8</v>
      </c>
      <c r="L35" s="141">
        <v>0</v>
      </c>
      <c r="M35" s="103"/>
      <c r="N35" s="103">
        <v>857.15</v>
      </c>
      <c r="O35" s="103">
        <v>-0.04</v>
      </c>
      <c r="P35" s="156">
        <f t="shared" si="22"/>
        <v>805.09</v>
      </c>
      <c r="Q35" s="103">
        <f t="shared" si="18"/>
        <v>1662.2</v>
      </c>
      <c r="R35" s="190">
        <f t="shared" si="19"/>
        <v>5338.6</v>
      </c>
      <c r="S35" s="170">
        <v>419.125</v>
      </c>
      <c r="T35" s="128">
        <f t="shared" si="20"/>
        <v>1435.16</v>
      </c>
      <c r="U35" s="157">
        <f t="shared" si="21"/>
        <v>140.02000000000001</v>
      </c>
      <c r="V35" s="129">
        <f t="shared" si="23"/>
        <v>1994.3050000000001</v>
      </c>
      <c r="X35" s="169"/>
    </row>
    <row r="36" spans="2:24" ht="21" x14ac:dyDescent="0.35">
      <c r="B36" s="102" t="s">
        <v>72</v>
      </c>
      <c r="C36" s="125" t="s">
        <v>52</v>
      </c>
      <c r="D36" s="102" t="s">
        <v>124</v>
      </c>
      <c r="E36" s="103">
        <v>7000.8</v>
      </c>
      <c r="F36" s="126">
        <v>15</v>
      </c>
      <c r="G36" s="103"/>
      <c r="H36" s="103"/>
      <c r="I36" s="139"/>
      <c r="J36" s="141"/>
      <c r="K36" s="141">
        <f t="shared" si="17"/>
        <v>7000.8</v>
      </c>
      <c r="L36" s="141">
        <v>0</v>
      </c>
      <c r="M36" s="103"/>
      <c r="N36" s="103">
        <v>857.15</v>
      </c>
      <c r="O36" s="103">
        <v>-0.04</v>
      </c>
      <c r="P36" s="156">
        <f t="shared" si="22"/>
        <v>805.09</v>
      </c>
      <c r="Q36" s="103">
        <f t="shared" si="18"/>
        <v>1662.2</v>
      </c>
      <c r="R36" s="190">
        <f t="shared" si="19"/>
        <v>5338.6</v>
      </c>
      <c r="S36" s="170">
        <v>419.125</v>
      </c>
      <c r="T36" s="128">
        <f t="shared" si="20"/>
        <v>1435.16</v>
      </c>
      <c r="U36" s="157">
        <f t="shared" si="21"/>
        <v>140.02000000000001</v>
      </c>
      <c r="V36" s="129">
        <f t="shared" si="23"/>
        <v>1994.3050000000001</v>
      </c>
      <c r="X36" s="169"/>
    </row>
    <row r="37" spans="2:24" ht="21" x14ac:dyDescent="0.35">
      <c r="B37" s="202" t="s">
        <v>73</v>
      </c>
      <c r="C37" s="203" t="s">
        <v>165</v>
      </c>
      <c r="D37" s="202" t="s">
        <v>125</v>
      </c>
      <c r="E37" s="6">
        <v>0</v>
      </c>
      <c r="F37" s="204">
        <v>15</v>
      </c>
      <c r="G37" s="6"/>
      <c r="H37" s="6"/>
      <c r="I37" s="205"/>
      <c r="J37" s="6"/>
      <c r="K37" s="6">
        <f t="shared" si="17"/>
        <v>0</v>
      </c>
      <c r="L37" s="6">
        <v>0</v>
      </c>
      <c r="M37" s="6"/>
      <c r="N37" s="6">
        <v>0</v>
      </c>
      <c r="O37" s="6"/>
      <c r="P37" s="6">
        <f t="shared" si="22"/>
        <v>0</v>
      </c>
      <c r="Q37" s="6">
        <v>0</v>
      </c>
      <c r="R37" s="201">
        <f>K37-Q37</f>
        <v>0</v>
      </c>
      <c r="S37" s="211">
        <v>419.125</v>
      </c>
      <c r="T37" s="206">
        <f t="shared" si="20"/>
        <v>0</v>
      </c>
      <c r="U37" s="206">
        <f t="shared" si="21"/>
        <v>0</v>
      </c>
      <c r="V37" s="207">
        <f t="shared" si="23"/>
        <v>419.125</v>
      </c>
      <c r="X37" s="169"/>
    </row>
    <row r="38" spans="2:24" ht="21" x14ac:dyDescent="0.35">
      <c r="B38" s="102" t="s">
        <v>74</v>
      </c>
      <c r="C38" s="125" t="s">
        <v>53</v>
      </c>
      <c r="D38" s="102" t="s">
        <v>125</v>
      </c>
      <c r="E38" s="103">
        <v>7000.8</v>
      </c>
      <c r="F38" s="126">
        <v>15</v>
      </c>
      <c r="G38" s="141"/>
      <c r="H38" s="103"/>
      <c r="I38" s="139"/>
      <c r="J38" s="103"/>
      <c r="K38" s="103">
        <f t="shared" si="17"/>
        <v>7000.8</v>
      </c>
      <c r="L38" s="103">
        <v>0</v>
      </c>
      <c r="M38" s="103"/>
      <c r="N38" s="103">
        <v>857.15</v>
      </c>
      <c r="O38" s="103">
        <v>-0.04</v>
      </c>
      <c r="P38" s="156">
        <f t="shared" si="22"/>
        <v>805.09</v>
      </c>
      <c r="Q38" s="103">
        <f>SUM(N38:P38)+G38</f>
        <v>1662.2</v>
      </c>
      <c r="R38" s="190">
        <f t="shared" si="19"/>
        <v>5338.6</v>
      </c>
      <c r="S38" s="170">
        <v>419.125</v>
      </c>
      <c r="T38" s="128">
        <f t="shared" si="20"/>
        <v>1435.16</v>
      </c>
      <c r="U38" s="157">
        <f t="shared" si="21"/>
        <v>140.02000000000001</v>
      </c>
      <c r="V38" s="129">
        <f t="shared" si="23"/>
        <v>1994.3050000000001</v>
      </c>
      <c r="X38" s="169"/>
    </row>
    <row r="39" spans="2:24" ht="21" x14ac:dyDescent="0.35">
      <c r="B39" s="102" t="s">
        <v>75</v>
      </c>
      <c r="C39" s="125" t="s">
        <v>39</v>
      </c>
      <c r="D39" s="102" t="s">
        <v>126</v>
      </c>
      <c r="E39" s="103">
        <v>7000.8</v>
      </c>
      <c r="F39" s="126">
        <v>15</v>
      </c>
      <c r="G39" s="141"/>
      <c r="H39" s="103"/>
      <c r="I39" s="144"/>
      <c r="J39" s="103"/>
      <c r="K39" s="103">
        <f t="shared" si="17"/>
        <v>7000.8</v>
      </c>
      <c r="L39" s="103">
        <v>0</v>
      </c>
      <c r="M39" s="103"/>
      <c r="N39" s="103">
        <v>857.15</v>
      </c>
      <c r="O39" s="103">
        <v>-0.04</v>
      </c>
      <c r="P39" s="156">
        <f t="shared" si="22"/>
        <v>805.09</v>
      </c>
      <c r="Q39" s="103">
        <f>SUM(N39:P39)+G39</f>
        <v>1662.2</v>
      </c>
      <c r="R39" s="190">
        <f t="shared" si="19"/>
        <v>5338.6</v>
      </c>
      <c r="S39" s="170">
        <v>419.125</v>
      </c>
      <c r="T39" s="128">
        <f t="shared" si="20"/>
        <v>1435.16</v>
      </c>
      <c r="U39" s="157">
        <f t="shared" si="21"/>
        <v>140.02000000000001</v>
      </c>
      <c r="V39" s="129">
        <f t="shared" si="23"/>
        <v>1994.3050000000001</v>
      </c>
      <c r="X39" s="169"/>
    </row>
    <row r="40" spans="2:24" ht="21" x14ac:dyDescent="0.35">
      <c r="B40" s="102" t="s">
        <v>76</v>
      </c>
      <c r="C40" s="125" t="s">
        <v>54</v>
      </c>
      <c r="D40" s="102" t="s">
        <v>126</v>
      </c>
      <c r="E40" s="103">
        <v>7000.8</v>
      </c>
      <c r="F40" s="126">
        <v>15</v>
      </c>
      <c r="G40" s="159">
        <v>1910</v>
      </c>
      <c r="H40" s="103"/>
      <c r="I40" s="144"/>
      <c r="J40" s="103"/>
      <c r="K40" s="103">
        <f t="shared" si="17"/>
        <v>7000.8</v>
      </c>
      <c r="L40" s="103">
        <v>0</v>
      </c>
      <c r="M40" s="103"/>
      <c r="N40" s="103">
        <v>857.15</v>
      </c>
      <c r="O40" s="103">
        <v>-0.04</v>
      </c>
      <c r="P40" s="156">
        <f t="shared" si="22"/>
        <v>805.09</v>
      </c>
      <c r="Q40" s="103">
        <f t="shared" si="18"/>
        <v>3572.2</v>
      </c>
      <c r="R40" s="190">
        <f t="shared" si="19"/>
        <v>3428.6000000000004</v>
      </c>
      <c r="S40" s="170">
        <v>419.125</v>
      </c>
      <c r="T40" s="128">
        <f t="shared" si="20"/>
        <v>1435.16</v>
      </c>
      <c r="U40" s="157">
        <f t="shared" si="21"/>
        <v>140.02000000000001</v>
      </c>
      <c r="V40" s="129">
        <f t="shared" si="23"/>
        <v>1994.3050000000001</v>
      </c>
      <c r="X40" s="169"/>
    </row>
    <row r="41" spans="2:24" ht="21" x14ac:dyDescent="0.35">
      <c r="B41" s="158"/>
      <c r="C41" s="30" t="s">
        <v>170</v>
      </c>
      <c r="D41" s="102" t="s">
        <v>125</v>
      </c>
      <c r="E41" s="103">
        <v>7000.8</v>
      </c>
      <c r="F41" s="126">
        <v>15</v>
      </c>
      <c r="G41" s="141"/>
      <c r="H41" s="103"/>
      <c r="I41" s="139">
        <v>466.72</v>
      </c>
      <c r="J41" s="103"/>
      <c r="K41" s="103">
        <f t="shared" si="17"/>
        <v>6534.08</v>
      </c>
      <c r="L41" s="103">
        <v>0</v>
      </c>
      <c r="M41" s="103"/>
      <c r="N41" s="103">
        <v>857.15</v>
      </c>
      <c r="O41" s="103">
        <v>0.13</v>
      </c>
      <c r="P41" s="141"/>
      <c r="Q41" s="103">
        <f t="shared" ref="Q41" si="24">SUM(N41:P41)+G41</f>
        <v>857.28</v>
      </c>
      <c r="R41" s="190">
        <f t="shared" si="19"/>
        <v>5676.8</v>
      </c>
      <c r="S41" s="170">
        <v>419.125</v>
      </c>
      <c r="T41" s="128"/>
      <c r="U41" s="157"/>
      <c r="V41" s="129">
        <f t="shared" ref="V41" si="25">SUM(S41:U41)</f>
        <v>419.125</v>
      </c>
      <c r="X41" s="169"/>
    </row>
    <row r="42" spans="2:24" ht="21" x14ac:dyDescent="0.35">
      <c r="B42" s="158" t="s">
        <v>150</v>
      </c>
      <c r="C42" s="30" t="s">
        <v>171</v>
      </c>
      <c r="D42" s="158" t="s">
        <v>109</v>
      </c>
      <c r="E42" s="103">
        <v>7000.8</v>
      </c>
      <c r="F42" s="126">
        <v>15</v>
      </c>
      <c r="G42" s="141"/>
      <c r="H42" s="103"/>
      <c r="I42" s="144"/>
      <c r="J42" s="103"/>
      <c r="K42" s="103">
        <f t="shared" si="17"/>
        <v>7000.8</v>
      </c>
      <c r="L42" s="103">
        <v>0</v>
      </c>
      <c r="M42" s="103"/>
      <c r="N42" s="103">
        <v>857.15</v>
      </c>
      <c r="O42" s="103">
        <v>-0.15</v>
      </c>
      <c r="P42" s="141"/>
      <c r="Q42" s="103">
        <f t="shared" ref="Q42:Q44" si="26">SUM(N42:P42)+G42</f>
        <v>857</v>
      </c>
      <c r="R42" s="190">
        <f t="shared" si="19"/>
        <v>6143.8</v>
      </c>
      <c r="S42" s="170">
        <v>419.125</v>
      </c>
      <c r="T42" s="128"/>
      <c r="U42" s="157"/>
      <c r="V42" s="129">
        <f t="shared" ref="V42:V44" si="27">SUM(S42:U42)</f>
        <v>419.125</v>
      </c>
      <c r="X42" s="169"/>
    </row>
    <row r="43" spans="2:24" ht="21" x14ac:dyDescent="0.35">
      <c r="B43" s="158" t="s">
        <v>151</v>
      </c>
      <c r="C43" s="30" t="s">
        <v>172</v>
      </c>
      <c r="D43" s="158" t="s">
        <v>109</v>
      </c>
      <c r="E43" s="103">
        <v>7000.8</v>
      </c>
      <c r="F43" s="126">
        <v>15</v>
      </c>
      <c r="G43" s="141"/>
      <c r="H43" s="103"/>
      <c r="I43" s="144"/>
      <c r="J43" s="103"/>
      <c r="K43" s="103">
        <f t="shared" si="17"/>
        <v>7000.8</v>
      </c>
      <c r="L43" s="103">
        <v>0</v>
      </c>
      <c r="M43" s="103"/>
      <c r="N43" s="103">
        <v>857.15</v>
      </c>
      <c r="O43" s="103">
        <v>-0.15</v>
      </c>
      <c r="P43" s="141"/>
      <c r="Q43" s="103">
        <f t="shared" si="26"/>
        <v>857</v>
      </c>
      <c r="R43" s="190">
        <f t="shared" si="19"/>
        <v>6143.8</v>
      </c>
      <c r="S43" s="170">
        <v>419.125</v>
      </c>
      <c r="T43" s="128"/>
      <c r="U43" s="157"/>
      <c r="V43" s="129">
        <f t="shared" si="27"/>
        <v>419.125</v>
      </c>
      <c r="X43" s="169"/>
    </row>
    <row r="44" spans="2:24" ht="21" x14ac:dyDescent="0.35">
      <c r="B44" s="158" t="s">
        <v>152</v>
      </c>
      <c r="C44" s="30" t="s">
        <v>173</v>
      </c>
      <c r="D44" s="158" t="s">
        <v>109</v>
      </c>
      <c r="E44" s="103">
        <v>7000.8</v>
      </c>
      <c r="F44" s="126">
        <v>15</v>
      </c>
      <c r="G44" s="141"/>
      <c r="H44" s="103"/>
      <c r="I44" s="144"/>
      <c r="J44" s="103"/>
      <c r="K44" s="103">
        <f t="shared" si="17"/>
        <v>7000.8</v>
      </c>
      <c r="L44" s="103">
        <v>0</v>
      </c>
      <c r="M44" s="103"/>
      <c r="N44" s="103">
        <v>857.15</v>
      </c>
      <c r="O44" s="103">
        <v>-0.15</v>
      </c>
      <c r="P44" s="141"/>
      <c r="Q44" s="103">
        <f t="shared" si="26"/>
        <v>857</v>
      </c>
      <c r="R44" s="190">
        <f t="shared" si="19"/>
        <v>6143.8</v>
      </c>
      <c r="S44" s="170">
        <v>419.125</v>
      </c>
      <c r="T44" s="128"/>
      <c r="U44" s="157"/>
      <c r="V44" s="129">
        <f t="shared" si="27"/>
        <v>419.125</v>
      </c>
      <c r="X44" s="169"/>
    </row>
    <row r="45" spans="2:24" ht="18.75" x14ac:dyDescent="0.3">
      <c r="B45" s="138" t="s">
        <v>20</v>
      </c>
      <c r="C45" s="132"/>
      <c r="D45" s="133"/>
      <c r="E45" s="135">
        <f>SUM(E30:E44)</f>
        <v>98454.200000000026</v>
      </c>
      <c r="F45" s="135">
        <f t="shared" ref="F45:V45" si="28">SUM(F30:F44)</f>
        <v>225</v>
      </c>
      <c r="G45" s="135">
        <f>SUM(G30:G44)</f>
        <v>3649.98</v>
      </c>
      <c r="H45" s="135">
        <f t="shared" si="28"/>
        <v>0</v>
      </c>
      <c r="I45" s="135">
        <f t="shared" si="28"/>
        <v>466.72</v>
      </c>
      <c r="J45" s="135">
        <f t="shared" si="28"/>
        <v>0</v>
      </c>
      <c r="K45" s="135">
        <f>SUM(K30:K44)</f>
        <v>97987.480000000025</v>
      </c>
      <c r="L45" s="135">
        <f t="shared" si="28"/>
        <v>0</v>
      </c>
      <c r="M45" s="135">
        <f t="shared" si="28"/>
        <v>0</v>
      </c>
      <c r="N45" s="135">
        <f t="shared" si="28"/>
        <v>12094.729999999998</v>
      </c>
      <c r="O45" s="135">
        <f t="shared" si="28"/>
        <v>-0.48</v>
      </c>
      <c r="P45" s="135">
        <f t="shared" si="28"/>
        <v>8101.8500000000013</v>
      </c>
      <c r="Q45" s="135">
        <f t="shared" si="28"/>
        <v>23846.080000000002</v>
      </c>
      <c r="R45" s="135">
        <f>ROUND(SUM(R30:R44),1)</f>
        <v>74141.399999999994</v>
      </c>
      <c r="S45" s="135">
        <f>SUM(S30:S44)</f>
        <v>6300.0550000000003</v>
      </c>
      <c r="T45" s="135">
        <f t="shared" si="28"/>
        <v>14442.42</v>
      </c>
      <c r="U45" s="135">
        <f t="shared" si="28"/>
        <v>1409.06</v>
      </c>
      <c r="V45" s="135">
        <f t="shared" si="28"/>
        <v>22151.535</v>
      </c>
      <c r="X45" s="169"/>
    </row>
    <row r="46" spans="2:24" ht="18.75" hidden="1" x14ac:dyDescent="0.3">
      <c r="C46" s="136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37"/>
      <c r="X46" s="169"/>
    </row>
    <row r="47" spans="2:24" ht="18.75" x14ac:dyDescent="0.3">
      <c r="B47" s="138" t="s">
        <v>78</v>
      </c>
      <c r="C47" s="31" t="s">
        <v>34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37"/>
      <c r="X47" s="169"/>
    </row>
    <row r="48" spans="2:24" ht="21" x14ac:dyDescent="0.35">
      <c r="B48" s="102" t="s">
        <v>69</v>
      </c>
      <c r="C48" s="125" t="s">
        <v>55</v>
      </c>
      <c r="D48" s="102" t="s">
        <v>130</v>
      </c>
      <c r="E48" s="103">
        <v>7443.8</v>
      </c>
      <c r="F48" s="126">
        <v>15</v>
      </c>
      <c r="G48" s="137"/>
      <c r="H48" s="103"/>
      <c r="I48" s="144"/>
      <c r="J48" s="141"/>
      <c r="K48" s="141">
        <f t="shared" ref="K48" si="29">E48-I48</f>
        <v>7443.8</v>
      </c>
      <c r="L48" s="141"/>
      <c r="M48" s="103"/>
      <c r="N48" s="103">
        <v>951.78</v>
      </c>
      <c r="O48" s="103">
        <v>-0.02</v>
      </c>
      <c r="P48" s="156">
        <f t="shared" ref="P48:P50" si="30">ROUND(E48*0.115,2)</f>
        <v>856.04</v>
      </c>
      <c r="Q48" s="103">
        <f t="shared" ref="Q48" si="31">SUM(N48:P48)+G48</f>
        <v>1807.8</v>
      </c>
      <c r="R48" s="190">
        <f t="shared" ref="R48" si="32">K48-Q48</f>
        <v>5636</v>
      </c>
      <c r="S48" s="170">
        <v>432.30499999999995</v>
      </c>
      <c r="T48" s="128">
        <f t="shared" ref="T48:T50" si="33">ROUND(+E48*17.5%,2)+ROUND(E48*3%,2)</f>
        <v>1525.98</v>
      </c>
      <c r="U48" s="157">
        <f t="shared" ref="U48:U50" si="34">ROUND(+E48*2%,2)</f>
        <v>148.88</v>
      </c>
      <c r="V48" s="129">
        <f t="shared" ref="V48:V53" si="35">SUM(S48:U48)</f>
        <v>2107.165</v>
      </c>
      <c r="X48" s="169"/>
    </row>
    <row r="49" spans="1:24" ht="21" x14ac:dyDescent="0.35">
      <c r="B49" s="102" t="s">
        <v>81</v>
      </c>
      <c r="C49" s="125" t="s">
        <v>44</v>
      </c>
      <c r="D49" s="102" t="s">
        <v>128</v>
      </c>
      <c r="E49" s="103">
        <v>7000.8</v>
      </c>
      <c r="F49" s="126">
        <v>15</v>
      </c>
      <c r="G49" s="159">
        <v>1171.28</v>
      </c>
      <c r="H49" s="103"/>
      <c r="I49" s="144"/>
      <c r="J49" s="103"/>
      <c r="K49" s="103">
        <f>E49-I49</f>
        <v>7000.8</v>
      </c>
      <c r="L49" s="103"/>
      <c r="M49" s="103"/>
      <c r="N49" s="103">
        <v>857.15</v>
      </c>
      <c r="O49" s="103">
        <v>0.08</v>
      </c>
      <c r="P49" s="156">
        <f t="shared" si="30"/>
        <v>805.09</v>
      </c>
      <c r="Q49" s="103">
        <f>SUM(N49:P49)+G49</f>
        <v>2833.6000000000004</v>
      </c>
      <c r="R49" s="190">
        <f>K49-Q49</f>
        <v>4167.2</v>
      </c>
      <c r="S49" s="170">
        <v>419.125</v>
      </c>
      <c r="T49" s="128">
        <f t="shared" si="33"/>
        <v>1435.16</v>
      </c>
      <c r="U49" s="157">
        <f t="shared" si="34"/>
        <v>140.02000000000001</v>
      </c>
      <c r="V49" s="129">
        <f t="shared" si="35"/>
        <v>1994.3050000000001</v>
      </c>
      <c r="X49" s="169"/>
    </row>
    <row r="50" spans="1:24" ht="21" x14ac:dyDescent="0.35">
      <c r="B50" s="102" t="s">
        <v>107</v>
      </c>
      <c r="C50" s="125" t="s">
        <v>108</v>
      </c>
      <c r="D50" s="102" t="s">
        <v>109</v>
      </c>
      <c r="E50" s="103">
        <v>7000.8</v>
      </c>
      <c r="F50" s="126">
        <v>15</v>
      </c>
      <c r="G50" s="103"/>
      <c r="H50" s="103"/>
      <c r="I50" s="103"/>
      <c r="J50" s="103"/>
      <c r="K50" s="103">
        <f>E50-I50</f>
        <v>7000.8</v>
      </c>
      <c r="L50" s="103"/>
      <c r="M50" s="103"/>
      <c r="N50" s="103">
        <v>857.15</v>
      </c>
      <c r="O50" s="103">
        <v>-0.04</v>
      </c>
      <c r="P50" s="156">
        <f t="shared" si="30"/>
        <v>805.09</v>
      </c>
      <c r="Q50" s="103">
        <f>SUM(N50:P50)+G50</f>
        <v>1662.2</v>
      </c>
      <c r="R50" s="190">
        <f>K50-Q50</f>
        <v>5338.6</v>
      </c>
      <c r="S50" s="170">
        <v>419.125</v>
      </c>
      <c r="T50" s="128">
        <f t="shared" si="33"/>
        <v>1435.16</v>
      </c>
      <c r="U50" s="157">
        <f t="shared" si="34"/>
        <v>140.02000000000001</v>
      </c>
      <c r="V50" s="129">
        <f t="shared" si="35"/>
        <v>1994.3050000000001</v>
      </c>
      <c r="X50" s="169"/>
    </row>
    <row r="51" spans="1:24" ht="31.5" x14ac:dyDescent="0.35">
      <c r="A51" s="158" t="s">
        <v>179</v>
      </c>
      <c r="B51" s="218" t="s">
        <v>156</v>
      </c>
      <c r="C51" s="219" t="s">
        <v>167</v>
      </c>
      <c r="D51" s="220" t="s">
        <v>160</v>
      </c>
      <c r="E51" s="168"/>
      <c r="F51" s="221">
        <v>6</v>
      </c>
      <c r="G51" s="168"/>
      <c r="H51" s="168"/>
      <c r="I51" s="222"/>
      <c r="J51" s="168"/>
      <c r="K51" s="168">
        <f t="shared" ref="K51:K53" si="36">E51-I51</f>
        <v>0</v>
      </c>
      <c r="L51" s="168"/>
      <c r="M51" s="168"/>
      <c r="N51" s="168">
        <v>0</v>
      </c>
      <c r="O51" s="168">
        <v>0</v>
      </c>
      <c r="P51" s="168"/>
      <c r="Q51" s="168">
        <f t="shared" ref="Q51:Q53" si="37">SUM(N51:P51)+G51</f>
        <v>0</v>
      </c>
      <c r="R51" s="201">
        <f t="shared" ref="R51:R52" si="38">K51-Q51</f>
        <v>0</v>
      </c>
      <c r="S51" s="211">
        <v>165.16</v>
      </c>
      <c r="T51" s="223"/>
      <c r="U51" s="223"/>
      <c r="V51" s="224">
        <f t="shared" si="35"/>
        <v>165.16</v>
      </c>
      <c r="X51" s="169"/>
    </row>
    <row r="52" spans="1:24" ht="31.5" x14ac:dyDescent="0.35">
      <c r="B52" s="158" t="s">
        <v>157</v>
      </c>
      <c r="C52" s="30" t="s">
        <v>168</v>
      </c>
      <c r="D52" s="198" t="s">
        <v>160</v>
      </c>
      <c r="E52" s="103">
        <v>6791.5</v>
      </c>
      <c r="F52" s="126">
        <v>15</v>
      </c>
      <c r="G52" s="141"/>
      <c r="H52" s="103"/>
      <c r="I52" s="144"/>
      <c r="J52" s="103"/>
      <c r="K52" s="103">
        <f t="shared" si="36"/>
        <v>6791.5</v>
      </c>
      <c r="L52" s="103"/>
      <c r="M52" s="103"/>
      <c r="N52" s="103">
        <v>812.45</v>
      </c>
      <c r="O52" s="103">
        <v>0.05</v>
      </c>
      <c r="P52" s="156"/>
      <c r="Q52" s="103">
        <f t="shared" si="37"/>
        <v>812.5</v>
      </c>
      <c r="R52" s="190">
        <f t="shared" si="38"/>
        <v>5979</v>
      </c>
      <c r="S52" s="170">
        <v>412.89499999999998</v>
      </c>
      <c r="T52" s="128"/>
      <c r="U52" s="157"/>
      <c r="V52" s="129">
        <f t="shared" si="35"/>
        <v>412.89499999999998</v>
      </c>
      <c r="X52" s="169"/>
    </row>
    <row r="53" spans="1:24" ht="31.5" x14ac:dyDescent="0.35">
      <c r="B53" s="158" t="s">
        <v>158</v>
      </c>
      <c r="C53" s="30" t="s">
        <v>169</v>
      </c>
      <c r="D53" s="198" t="s">
        <v>160</v>
      </c>
      <c r="E53" s="103">
        <v>6791.5</v>
      </c>
      <c r="F53" s="126">
        <v>15</v>
      </c>
      <c r="G53" s="103"/>
      <c r="H53" s="103"/>
      <c r="I53" s="103"/>
      <c r="J53" s="103"/>
      <c r="K53" s="103">
        <f t="shared" si="36"/>
        <v>6791.5</v>
      </c>
      <c r="L53" s="103"/>
      <c r="M53" s="103"/>
      <c r="N53" s="103">
        <v>812.45</v>
      </c>
      <c r="O53" s="103">
        <v>0.05</v>
      </c>
      <c r="P53" s="156"/>
      <c r="Q53" s="103">
        <f t="shared" si="37"/>
        <v>812.5</v>
      </c>
      <c r="R53" s="190">
        <f>K53-Q53</f>
        <v>5979</v>
      </c>
      <c r="S53" s="170">
        <v>412.89499999999998</v>
      </c>
      <c r="T53" s="128"/>
      <c r="U53" s="157"/>
      <c r="V53" s="129">
        <f t="shared" si="35"/>
        <v>412.89499999999998</v>
      </c>
      <c r="X53" s="169"/>
    </row>
    <row r="54" spans="1:24" ht="18.75" x14ac:dyDescent="0.3">
      <c r="B54" s="138" t="s">
        <v>20</v>
      </c>
      <c r="C54" s="132"/>
      <c r="D54" s="133"/>
      <c r="E54" s="135">
        <f>SUM(E48:E53)</f>
        <v>35028.400000000001</v>
      </c>
      <c r="F54" s="135"/>
      <c r="G54" s="135">
        <f>SUM(G48:G53)</f>
        <v>1171.28</v>
      </c>
      <c r="H54" s="135">
        <f t="shared" ref="H54:V54" si="39">SUM(H48:H53)</f>
        <v>0</v>
      </c>
      <c r="I54" s="135">
        <f t="shared" si="39"/>
        <v>0</v>
      </c>
      <c r="J54" s="135">
        <f t="shared" si="39"/>
        <v>0</v>
      </c>
      <c r="K54" s="135">
        <f>SUM(K48:K53)</f>
        <v>35028.400000000001</v>
      </c>
      <c r="L54" s="135">
        <f t="shared" si="39"/>
        <v>0</v>
      </c>
      <c r="M54" s="135">
        <f>SUM(M48:M53)</f>
        <v>0</v>
      </c>
      <c r="N54" s="135">
        <f>SUM(N48:N53)</f>
        <v>4290.9799999999996</v>
      </c>
      <c r="O54" s="135">
        <f t="shared" si="39"/>
        <v>0.12000000000000001</v>
      </c>
      <c r="P54" s="135">
        <f t="shared" si="39"/>
        <v>2466.2200000000003</v>
      </c>
      <c r="Q54" s="135">
        <f t="shared" si="39"/>
        <v>7928.6</v>
      </c>
      <c r="R54" s="135">
        <f>ROUND(SUM(R48:R53),1)</f>
        <v>27099.8</v>
      </c>
      <c r="S54" s="135">
        <f>SUM(S48:S53)</f>
        <v>2261.5050000000001</v>
      </c>
      <c r="T54" s="135">
        <f t="shared" si="39"/>
        <v>4396.3</v>
      </c>
      <c r="U54" s="135">
        <f t="shared" si="39"/>
        <v>428.91999999999996</v>
      </c>
      <c r="V54" s="135">
        <f t="shared" si="39"/>
        <v>7086.7250000000004</v>
      </c>
      <c r="X54" s="169"/>
    </row>
    <row r="55" spans="1:24" ht="18.75" hidden="1" x14ac:dyDescent="0.3">
      <c r="B55" s="138"/>
      <c r="C55" s="136"/>
      <c r="E55" s="103"/>
      <c r="F55" s="103"/>
      <c r="G55" s="103"/>
      <c r="H55" s="103"/>
      <c r="I55" s="103"/>
      <c r="J55" s="103"/>
      <c r="K55" s="146"/>
      <c r="L55" s="146"/>
      <c r="M55" s="146"/>
      <c r="N55" s="146"/>
      <c r="O55" s="146"/>
      <c r="P55" s="146"/>
      <c r="Q55" s="146"/>
      <c r="R55" s="147"/>
      <c r="S55" s="148"/>
      <c r="T55" s="148"/>
      <c r="U55" s="148"/>
      <c r="V55" s="148"/>
      <c r="X55" s="169"/>
    </row>
    <row r="56" spans="1:24" ht="18.75" x14ac:dyDescent="0.3">
      <c r="B56" s="138" t="s">
        <v>84</v>
      </c>
      <c r="C56" s="31" t="s">
        <v>85</v>
      </c>
      <c r="E56" s="103"/>
      <c r="F56" s="103"/>
      <c r="G56" s="103"/>
      <c r="H56" s="103"/>
      <c r="I56" s="103"/>
      <c r="J56" s="103"/>
      <c r="K56" s="146"/>
      <c r="L56" s="146"/>
      <c r="M56" s="146"/>
      <c r="N56" s="146"/>
      <c r="O56" s="146"/>
      <c r="P56" s="146"/>
      <c r="Q56" s="146"/>
      <c r="R56" s="147"/>
      <c r="S56" s="148"/>
      <c r="T56" s="148"/>
      <c r="U56" s="148"/>
      <c r="V56" s="148"/>
      <c r="X56" s="169"/>
    </row>
    <row r="57" spans="1:24" ht="21" x14ac:dyDescent="0.35">
      <c r="B57" s="102" t="s">
        <v>86</v>
      </c>
      <c r="C57" s="125" t="s">
        <v>30</v>
      </c>
      <c r="D57" s="102" t="s">
        <v>114</v>
      </c>
      <c r="E57" s="103">
        <v>13000</v>
      </c>
      <c r="F57" s="126">
        <v>15</v>
      </c>
      <c r="G57" s="159">
        <v>6263.9</v>
      </c>
      <c r="H57" s="103"/>
      <c r="I57" s="103"/>
      <c r="J57" s="103"/>
      <c r="K57" s="103">
        <f>E57-I57</f>
        <v>13000</v>
      </c>
      <c r="L57" s="103">
        <v>0</v>
      </c>
      <c r="M57" s="103"/>
      <c r="N57" s="103">
        <v>2161.23</v>
      </c>
      <c r="O57" s="103">
        <v>7.0000000000000007E-2</v>
      </c>
      <c r="P57" s="156">
        <f>ROUND(E57*0.115,2)</f>
        <v>1495</v>
      </c>
      <c r="Q57" s="103">
        <f>SUM(N57:P57)+G57</f>
        <v>9920.2000000000007</v>
      </c>
      <c r="R57" s="190">
        <f>K57-Q57</f>
        <v>3079.7999999999993</v>
      </c>
      <c r="S57" s="29">
        <v>597.70000000000005</v>
      </c>
      <c r="T57" s="128">
        <f t="shared" ref="T57" si="40">ROUND(+E57*17.5%,2)+ROUND(E57*3%,2)</f>
        <v>2665</v>
      </c>
      <c r="U57" s="157">
        <f>ROUND(+E57*2%,2)</f>
        <v>260</v>
      </c>
      <c r="V57" s="129">
        <f t="shared" ref="V57" si="41">SUM(S57:U57)</f>
        <v>3522.7</v>
      </c>
      <c r="X57" s="169"/>
    </row>
    <row r="58" spans="1:24" ht="18.75" x14ac:dyDescent="0.3">
      <c r="B58" s="138" t="s">
        <v>20</v>
      </c>
      <c r="E58" s="135">
        <f>E57</f>
        <v>13000</v>
      </c>
      <c r="F58" s="135"/>
      <c r="G58" s="135">
        <f>+G57</f>
        <v>6263.9</v>
      </c>
      <c r="H58" s="135"/>
      <c r="I58" s="135">
        <f>I57</f>
        <v>0</v>
      </c>
      <c r="J58" s="135">
        <f>J57</f>
        <v>0</v>
      </c>
      <c r="K58" s="135">
        <f>K57</f>
        <v>13000</v>
      </c>
      <c r="L58" s="135">
        <f t="shared" ref="L58:V58" si="42">L57</f>
        <v>0</v>
      </c>
      <c r="M58" s="135">
        <f t="shared" si="42"/>
        <v>0</v>
      </c>
      <c r="N58" s="135">
        <f>N57</f>
        <v>2161.23</v>
      </c>
      <c r="O58" s="135">
        <f t="shared" si="42"/>
        <v>7.0000000000000007E-2</v>
      </c>
      <c r="P58" s="135">
        <f>P57</f>
        <v>1495</v>
      </c>
      <c r="Q58" s="135">
        <f t="shared" si="42"/>
        <v>9920.2000000000007</v>
      </c>
      <c r="R58" s="135">
        <f>ROUND(R57,1)</f>
        <v>3079.8</v>
      </c>
      <c r="S58" s="135">
        <f>S57</f>
        <v>597.70000000000005</v>
      </c>
      <c r="T58" s="135">
        <f t="shared" si="42"/>
        <v>2665</v>
      </c>
      <c r="U58" s="135">
        <f>U57</f>
        <v>260</v>
      </c>
      <c r="V58" s="135">
        <f t="shared" si="42"/>
        <v>3522.7</v>
      </c>
      <c r="X58" s="169"/>
    </row>
    <row r="59" spans="1:24" ht="12" customHeight="1" x14ac:dyDescent="0.3">
      <c r="B59" s="138"/>
      <c r="E59" s="103"/>
      <c r="F59" s="103"/>
      <c r="G59" s="103"/>
      <c r="H59" s="103"/>
      <c r="I59" s="103"/>
      <c r="J59" s="103"/>
      <c r="K59" s="146"/>
      <c r="L59" s="146"/>
      <c r="M59" s="146"/>
      <c r="N59" s="146"/>
      <c r="O59" s="146"/>
      <c r="P59" s="146"/>
      <c r="Q59" s="146"/>
      <c r="R59" s="147"/>
      <c r="S59" s="148"/>
      <c r="T59" s="148"/>
      <c r="U59" s="148"/>
      <c r="V59" s="148"/>
    </row>
    <row r="60" spans="1:24" ht="18.75" hidden="1" x14ac:dyDescent="0.3">
      <c r="R60" s="149"/>
    </row>
    <row r="61" spans="1:24" ht="18.75" x14ac:dyDescent="0.3">
      <c r="C61" s="150" t="s">
        <v>56</v>
      </c>
      <c r="E61" s="151">
        <f>E9+E20+E27+E45+E54+E58</f>
        <v>253753.16</v>
      </c>
      <c r="F61" s="151"/>
      <c r="G61" s="152">
        <f>G9+G20+G27+G45+G54+G58</f>
        <v>26279.739999999998</v>
      </c>
      <c r="H61" s="151"/>
      <c r="I61" s="151">
        <f t="shared" ref="I61:V61" si="43">I9+I20+I27+I45+I54+I58</f>
        <v>466.72</v>
      </c>
      <c r="J61" s="151">
        <f t="shared" si="43"/>
        <v>0</v>
      </c>
      <c r="K61" s="151">
        <f>K9+K20+K27+K45+K54+K58</f>
        <v>253286.44</v>
      </c>
      <c r="L61" s="151">
        <f t="shared" si="43"/>
        <v>0</v>
      </c>
      <c r="M61" s="151">
        <f t="shared" si="43"/>
        <v>0</v>
      </c>
      <c r="N61" s="151">
        <f t="shared" si="43"/>
        <v>32921.21</v>
      </c>
      <c r="O61" s="151">
        <f t="shared" si="43"/>
        <v>-0.46</v>
      </c>
      <c r="P61" s="152">
        <f>P9+P20+P27+P45+P54+P58</f>
        <v>24399.170000000002</v>
      </c>
      <c r="Q61" s="151">
        <f t="shared" si="43"/>
        <v>83599.66</v>
      </c>
      <c r="R61" s="153">
        <f>ROUND(+R9+R20+R27+R45+R54+R58,1)</f>
        <v>169686.8</v>
      </c>
      <c r="S61" s="151">
        <f>S9+S20+S27+S45+S54+S58</f>
        <v>15287.025000000001</v>
      </c>
      <c r="T61" s="151">
        <f>T58+T54+T45+T27+T20+T9</f>
        <v>43494.152475000003</v>
      </c>
      <c r="U61" s="152">
        <f>U9+U20+U27+U45+U54+U58</f>
        <v>4243.43</v>
      </c>
      <c r="V61" s="154">
        <f t="shared" si="43"/>
        <v>63024.60747499999</v>
      </c>
    </row>
    <row r="62" spans="1:24" ht="18.75" x14ac:dyDescent="0.3">
      <c r="S62" s="151"/>
      <c r="T62" s="151"/>
    </row>
    <row r="63" spans="1:24" x14ac:dyDescent="0.25">
      <c r="T63" s="103"/>
      <c r="X63" s="169"/>
    </row>
    <row r="65" spans="3:20" x14ac:dyDescent="0.25">
      <c r="I65" s="169"/>
    </row>
    <row r="70" spans="3:20" ht="16.5" thickBot="1" x14ac:dyDescent="0.3">
      <c r="E70" s="293"/>
      <c r="F70" s="293"/>
      <c r="G70" s="216"/>
      <c r="H70" s="216"/>
      <c r="P70" s="294"/>
      <c r="Q70" s="294"/>
    </row>
    <row r="71" spans="3:20" ht="15" x14ac:dyDescent="0.25">
      <c r="E71" s="295" t="s">
        <v>91</v>
      </c>
      <c r="F71" s="295"/>
      <c r="G71" s="217"/>
      <c r="H71" s="217"/>
      <c r="P71" s="155"/>
      <c r="Q71" s="155"/>
      <c r="R71" s="296" t="s">
        <v>82</v>
      </c>
      <c r="S71" s="296"/>
      <c r="T71" s="216"/>
    </row>
    <row r="75" spans="3:20" x14ac:dyDescent="0.25">
      <c r="C75" s="102" t="s">
        <v>90</v>
      </c>
    </row>
  </sheetData>
  <mergeCells count="5">
    <mergeCell ref="B4:V4"/>
    <mergeCell ref="E70:F70"/>
    <mergeCell ref="P70:Q70"/>
    <mergeCell ref="E71:F71"/>
    <mergeCell ref="R71:S71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CD241-0E93-4486-8FC1-E0016AF29291}">
  <sheetPr>
    <pageSetUpPr fitToPage="1"/>
  </sheetPr>
  <dimension ref="A3:X75"/>
  <sheetViews>
    <sheetView topLeftCell="A45" zoomScale="85" zoomScaleNormal="85" workbookViewId="0">
      <selection activeCell="S57" sqref="S57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5.85546875" style="102" bestFit="1" customWidth="1"/>
    <col min="8" max="8" width="14.140625" style="102" hidden="1" customWidth="1"/>
    <col min="9" max="9" width="13.28515625" style="102" customWidth="1"/>
    <col min="10" max="10" width="13.28515625" style="102" hidden="1" customWidth="1"/>
    <col min="11" max="11" width="15.85546875" style="102" bestFit="1" customWidth="1"/>
    <col min="12" max="12" width="9.42578125" style="102" hidden="1" customWidth="1"/>
    <col min="13" max="13" width="14.42578125" style="102" hidden="1" customWidth="1"/>
    <col min="14" max="14" width="15.85546875" style="102" bestFit="1" customWidth="1"/>
    <col min="15" max="15" width="11.140625" style="102" bestFit="1" customWidth="1"/>
    <col min="16" max="16" width="14.42578125" style="102" bestFit="1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4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4" ht="16.5" customHeight="1" x14ac:dyDescent="0.25">
      <c r="B4" s="291" t="s">
        <v>180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4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2" t="s">
        <v>148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4" x14ac:dyDescent="0.25">
      <c r="B6" s="121" t="s">
        <v>13</v>
      </c>
      <c r="C6" s="5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4" ht="21" x14ac:dyDescent="0.35">
      <c r="B7" s="102" t="s">
        <v>15</v>
      </c>
      <c r="C7" s="125" t="s">
        <v>16</v>
      </c>
      <c r="D7" s="102" t="s">
        <v>19</v>
      </c>
      <c r="E7" s="103">
        <v>19461.365000000002</v>
      </c>
      <c r="F7" s="126">
        <v>15</v>
      </c>
      <c r="G7" s="141"/>
      <c r="H7" s="103"/>
      <c r="I7" s="103"/>
      <c r="J7" s="103"/>
      <c r="K7" s="103">
        <f>E7-I7</f>
        <v>19461.365000000002</v>
      </c>
      <c r="L7" s="103">
        <v>0</v>
      </c>
      <c r="M7" s="103"/>
      <c r="N7" s="103">
        <v>3721.35</v>
      </c>
      <c r="O7" s="103">
        <v>-0.04</v>
      </c>
      <c r="P7" s="156">
        <f>ROUND(E7*0.115,2)</f>
        <v>2238.06</v>
      </c>
      <c r="Q7" s="103">
        <f>SUM(N7:P7)+G7</f>
        <v>5959.37</v>
      </c>
      <c r="R7" s="171">
        <f>K7-Q7</f>
        <v>13501.995000000003</v>
      </c>
      <c r="S7" s="29">
        <v>790.02500000000009</v>
      </c>
      <c r="T7" s="128">
        <f>+E7*17.5%+E7*3%</f>
        <v>3989.5798249999998</v>
      </c>
      <c r="U7" s="157">
        <f>ROUND(+E7*2%,2)</f>
        <v>389.23</v>
      </c>
      <c r="V7" s="129">
        <f>SUM(S7:U7)</f>
        <v>5168.8348249999999</v>
      </c>
      <c r="X7" s="169"/>
    </row>
    <row r="8" spans="2:24" ht="21" x14ac:dyDescent="0.35">
      <c r="B8" s="102" t="s">
        <v>17</v>
      </c>
      <c r="C8" s="125" t="s">
        <v>18</v>
      </c>
      <c r="D8" s="102" t="s">
        <v>2</v>
      </c>
      <c r="E8" s="103">
        <v>6247.33</v>
      </c>
      <c r="F8" s="126">
        <v>15</v>
      </c>
      <c r="G8" s="127">
        <v>1000</v>
      </c>
      <c r="H8" s="103"/>
      <c r="I8" s="130"/>
      <c r="J8" s="103"/>
      <c r="K8" s="103">
        <f>E8-I8</f>
        <v>6247.33</v>
      </c>
      <c r="L8" s="103">
        <v>0</v>
      </c>
      <c r="M8" s="103"/>
      <c r="N8" s="103">
        <v>696.21</v>
      </c>
      <c r="O8" s="103">
        <v>0.08</v>
      </c>
      <c r="P8" s="156">
        <f>ROUND(E8*0.115,2)</f>
        <v>718.44</v>
      </c>
      <c r="Q8" s="103">
        <f>SUM(N8:P8)+G8</f>
        <v>2414.73</v>
      </c>
      <c r="R8" s="171">
        <f>K8-Q8</f>
        <v>3832.6</v>
      </c>
      <c r="S8" s="29">
        <v>396.69499999999999</v>
      </c>
      <c r="T8" s="128">
        <f>+E8*17.5%+E8*3%</f>
        <v>1280.7026499999997</v>
      </c>
      <c r="U8" s="157">
        <f>ROUND(+E8*2%,2)</f>
        <v>124.95</v>
      </c>
      <c r="V8" s="129">
        <f>SUM(S8:U8)</f>
        <v>1802.3476499999997</v>
      </c>
      <c r="X8" s="169"/>
    </row>
    <row r="9" spans="2:24" ht="18.75" x14ac:dyDescent="0.3">
      <c r="B9" s="131" t="s">
        <v>20</v>
      </c>
      <c r="C9" s="132"/>
      <c r="D9" s="133"/>
      <c r="E9" s="135">
        <f>SUM(E7:E8)</f>
        <v>25708.695</v>
      </c>
      <c r="F9" s="135"/>
      <c r="G9" s="135">
        <f>+G8+G7</f>
        <v>1000</v>
      </c>
      <c r="H9" s="135"/>
      <c r="I9" s="135">
        <f t="shared" ref="I9:V9" si="0">SUM(I7:I8)</f>
        <v>0</v>
      </c>
      <c r="J9" s="135">
        <f t="shared" si="0"/>
        <v>0</v>
      </c>
      <c r="K9" s="135">
        <f>SUM(K7:K8)</f>
        <v>25708.695</v>
      </c>
      <c r="L9" s="135">
        <f t="shared" si="0"/>
        <v>0</v>
      </c>
      <c r="M9" s="135">
        <f>SUM(M7:M8)</f>
        <v>0</v>
      </c>
      <c r="N9" s="135">
        <f>SUM(N7:N8)</f>
        <v>4417.5599999999995</v>
      </c>
      <c r="O9" s="135">
        <f t="shared" si="0"/>
        <v>0.04</v>
      </c>
      <c r="P9" s="135">
        <f>SUM(P7:P8)</f>
        <v>2956.5</v>
      </c>
      <c r="Q9" s="135">
        <f t="shared" si="0"/>
        <v>8374.1</v>
      </c>
      <c r="R9" s="135">
        <f>ROUND(SUM(R7:R8),1)</f>
        <v>17334.599999999999</v>
      </c>
      <c r="S9" s="135">
        <f>SUM(S7:S8)</f>
        <v>1186.72</v>
      </c>
      <c r="T9" s="135">
        <f t="shared" si="0"/>
        <v>5270.282475</v>
      </c>
      <c r="U9" s="135">
        <f>SUM(U7:U8)</f>
        <v>514.18000000000006</v>
      </c>
      <c r="V9" s="135">
        <f t="shared" si="0"/>
        <v>6971.1824749999996</v>
      </c>
      <c r="X9" s="169"/>
    </row>
    <row r="10" spans="2:24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4" ht="18.75" x14ac:dyDescent="0.3">
      <c r="B11" s="138" t="s">
        <v>21</v>
      </c>
      <c r="C11" s="31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4" ht="21" x14ac:dyDescent="0.35">
      <c r="B12" s="102" t="s">
        <v>23</v>
      </c>
      <c r="C12" s="125" t="s">
        <v>28</v>
      </c>
      <c r="D12" s="102" t="s">
        <v>114</v>
      </c>
      <c r="E12" s="103">
        <v>13000</v>
      </c>
      <c r="F12" s="126">
        <v>15</v>
      </c>
      <c r="G12" s="127">
        <v>3394</v>
      </c>
      <c r="H12" s="103"/>
      <c r="I12" s="103"/>
      <c r="J12" s="103"/>
      <c r="K12" s="103">
        <f t="shared" ref="K12:K18" si="1">E12-I12</f>
        <v>13000</v>
      </c>
      <c r="L12" s="103">
        <v>0</v>
      </c>
      <c r="M12" s="103"/>
      <c r="N12" s="103">
        <v>2161.23</v>
      </c>
      <c r="O12" s="103">
        <v>-0.03</v>
      </c>
      <c r="P12" s="156">
        <f t="shared" ref="P12:P19" si="2">ROUND(E12*0.115,2)</f>
        <v>1495</v>
      </c>
      <c r="Q12" s="103">
        <f t="shared" ref="Q12:Q19" si="3">SUM(N12:P12)+G12</f>
        <v>7050.2</v>
      </c>
      <c r="R12" s="171">
        <f t="shared" ref="R12:R19" si="4">K12-Q12</f>
        <v>5949.8</v>
      </c>
      <c r="S12" s="29">
        <v>597.69499999999994</v>
      </c>
      <c r="T12" s="128">
        <f>ROUND(+E12*17.5%,2)+ROUND(E12*3%,2)</f>
        <v>2665</v>
      </c>
      <c r="U12" s="157">
        <f t="shared" ref="U12:U19" si="5">ROUND(+E12*2%,2)</f>
        <v>260</v>
      </c>
      <c r="V12" s="129">
        <f t="shared" ref="V12:V19" si="6">SUM(S12:U12)</f>
        <v>3522.6949999999997</v>
      </c>
      <c r="X12" s="169"/>
    </row>
    <row r="13" spans="2:24" ht="21" x14ac:dyDescent="0.35">
      <c r="B13" s="102" t="s">
        <v>24</v>
      </c>
      <c r="C13" s="125" t="s">
        <v>29</v>
      </c>
      <c r="D13" s="102" t="s">
        <v>116</v>
      </c>
      <c r="E13" s="103">
        <v>7000.8</v>
      </c>
      <c r="F13" s="126">
        <v>15</v>
      </c>
      <c r="G13" s="127">
        <v>2129.5700000000002</v>
      </c>
      <c r="H13" s="103"/>
      <c r="I13" s="139"/>
      <c r="J13" s="140"/>
      <c r="K13" s="103">
        <f>E13-I13</f>
        <v>7000.8</v>
      </c>
      <c r="L13" s="103">
        <v>0</v>
      </c>
      <c r="M13" s="103"/>
      <c r="N13" s="103">
        <v>857.15</v>
      </c>
      <c r="O13" s="103">
        <v>-0.01</v>
      </c>
      <c r="P13" s="156">
        <f t="shared" si="2"/>
        <v>805.09</v>
      </c>
      <c r="Q13" s="103">
        <f t="shared" si="3"/>
        <v>3791.8</v>
      </c>
      <c r="R13" s="171">
        <f t="shared" si="4"/>
        <v>3209</v>
      </c>
      <c r="S13" s="29">
        <v>419.125</v>
      </c>
      <c r="T13" s="128">
        <f t="shared" ref="T13:T19" si="7">ROUND(+E13*17.5%,2)+ROUND(E13*3%,2)</f>
        <v>1435.16</v>
      </c>
      <c r="U13" s="157">
        <f t="shared" si="5"/>
        <v>140.02000000000001</v>
      </c>
      <c r="V13" s="129">
        <f t="shared" si="6"/>
        <v>1994.3050000000001</v>
      </c>
      <c r="X13" s="169"/>
    </row>
    <row r="14" spans="2:24" ht="21" x14ac:dyDescent="0.35">
      <c r="B14" s="102" t="s">
        <v>25</v>
      </c>
      <c r="C14" s="30" t="s">
        <v>174</v>
      </c>
      <c r="D14" s="102" t="s">
        <v>115</v>
      </c>
      <c r="E14" s="103">
        <v>7000.8</v>
      </c>
      <c r="F14" s="126">
        <v>15</v>
      </c>
      <c r="G14" s="127">
        <v>1330.99</v>
      </c>
      <c r="H14" s="141"/>
      <c r="I14" s="139"/>
      <c r="J14" s="140"/>
      <c r="K14" s="103">
        <f>E14-I14</f>
        <v>7000.8</v>
      </c>
      <c r="L14" s="103">
        <v>0</v>
      </c>
      <c r="M14" s="103"/>
      <c r="N14" s="103">
        <v>857.15</v>
      </c>
      <c r="O14" s="103">
        <v>-0.03</v>
      </c>
      <c r="P14" s="156">
        <f>ROUND(E14*0.115,2)</f>
        <v>805.09</v>
      </c>
      <c r="Q14" s="103">
        <f>SUM(N14:P14)+G14</f>
        <v>2993.2</v>
      </c>
      <c r="R14" s="171">
        <f>K14-Q14</f>
        <v>4007.6000000000004</v>
      </c>
      <c r="S14" s="29">
        <v>419.125</v>
      </c>
      <c r="T14" s="128">
        <f t="shared" si="7"/>
        <v>1435.16</v>
      </c>
      <c r="U14" s="157">
        <f t="shared" si="5"/>
        <v>140.02000000000001</v>
      </c>
      <c r="V14" s="129">
        <f t="shared" si="6"/>
        <v>1994.3050000000001</v>
      </c>
      <c r="X14" s="169"/>
    </row>
    <row r="15" spans="2:24" ht="21" x14ac:dyDescent="0.35">
      <c r="B15" s="102" t="s">
        <v>26</v>
      </c>
      <c r="C15" s="125" t="s">
        <v>58</v>
      </c>
      <c r="D15" s="102" t="s">
        <v>37</v>
      </c>
      <c r="E15" s="103">
        <v>7443.8</v>
      </c>
      <c r="F15" s="126">
        <v>15</v>
      </c>
      <c r="G15" s="103"/>
      <c r="H15" s="103"/>
      <c r="I15" s="139"/>
      <c r="J15" s="103"/>
      <c r="K15" s="103">
        <f t="shared" si="1"/>
        <v>7443.8</v>
      </c>
      <c r="L15" s="103">
        <v>0</v>
      </c>
      <c r="M15" s="103"/>
      <c r="N15" s="103">
        <v>951.78</v>
      </c>
      <c r="O15" s="103">
        <v>-0.02</v>
      </c>
      <c r="P15" s="156">
        <f t="shared" si="2"/>
        <v>856.04</v>
      </c>
      <c r="Q15" s="103">
        <f t="shared" si="3"/>
        <v>1807.8</v>
      </c>
      <c r="R15" s="171">
        <f t="shared" si="4"/>
        <v>5636</v>
      </c>
      <c r="S15" s="29">
        <v>432.30499999999995</v>
      </c>
      <c r="T15" s="128">
        <f t="shared" si="7"/>
        <v>1525.98</v>
      </c>
      <c r="U15" s="157">
        <f t="shared" si="5"/>
        <v>148.88</v>
      </c>
      <c r="V15" s="129">
        <f t="shared" si="6"/>
        <v>2107.165</v>
      </c>
      <c r="X15" s="169"/>
    </row>
    <row r="16" spans="2:24" ht="21" x14ac:dyDescent="0.35">
      <c r="B16" s="102" t="s">
        <v>27</v>
      </c>
      <c r="C16" s="125" t="s">
        <v>40</v>
      </c>
      <c r="D16" s="102" t="s">
        <v>117</v>
      </c>
      <c r="E16" s="103">
        <v>4918.3649999999998</v>
      </c>
      <c r="F16" s="126">
        <v>15</v>
      </c>
      <c r="G16" s="127">
        <v>2050</v>
      </c>
      <c r="H16" s="103"/>
      <c r="I16" s="139"/>
      <c r="J16" s="103"/>
      <c r="K16" s="103">
        <f>E16-I16</f>
        <v>4918.3649999999998</v>
      </c>
      <c r="L16" s="103">
        <v>0</v>
      </c>
      <c r="M16" s="103"/>
      <c r="N16" s="103">
        <v>447.61</v>
      </c>
      <c r="O16" s="103">
        <v>-0.05</v>
      </c>
      <c r="P16" s="156">
        <f>ROUND(E16*0.115,2)</f>
        <v>565.61</v>
      </c>
      <c r="Q16" s="103">
        <f>SUM(N16:P16)+G16</f>
        <v>3063.17</v>
      </c>
      <c r="R16" s="171">
        <f t="shared" si="4"/>
        <v>1855.1949999999997</v>
      </c>
      <c r="S16" s="29">
        <v>361.11500000000001</v>
      </c>
      <c r="T16" s="128">
        <f t="shared" si="7"/>
        <v>1008.26</v>
      </c>
      <c r="U16" s="157">
        <f t="shared" si="5"/>
        <v>98.37</v>
      </c>
      <c r="V16" s="129">
        <f t="shared" si="6"/>
        <v>1467.7449999999999</v>
      </c>
      <c r="X16" s="169"/>
    </row>
    <row r="17" spans="2:24" ht="21" x14ac:dyDescent="0.35">
      <c r="B17" s="102" t="s">
        <v>60</v>
      </c>
      <c r="C17" s="125" t="s">
        <v>41</v>
      </c>
      <c r="D17" s="102" t="s">
        <v>118</v>
      </c>
      <c r="E17" s="103">
        <v>4918.3649999999998</v>
      </c>
      <c r="F17" s="126">
        <v>15</v>
      </c>
      <c r="G17" s="127">
        <v>1676.62</v>
      </c>
      <c r="H17" s="103"/>
      <c r="I17" s="139"/>
      <c r="J17" s="103"/>
      <c r="K17" s="103">
        <f>E17-I17</f>
        <v>4918.3649999999998</v>
      </c>
      <c r="L17" s="103">
        <v>0</v>
      </c>
      <c r="M17" s="103"/>
      <c r="N17" s="103">
        <v>447.61</v>
      </c>
      <c r="O17" s="103">
        <v>0.13</v>
      </c>
      <c r="P17" s="156">
        <f t="shared" si="2"/>
        <v>565.61</v>
      </c>
      <c r="Q17" s="103">
        <f>SUM(N17:P17)+G17</f>
        <v>2689.97</v>
      </c>
      <c r="R17" s="171">
        <f>K17-Q17</f>
        <v>2228.395</v>
      </c>
      <c r="S17" s="29">
        <v>361.11500000000001</v>
      </c>
      <c r="T17" s="128">
        <f t="shared" si="7"/>
        <v>1008.26</v>
      </c>
      <c r="U17" s="157">
        <f t="shared" si="5"/>
        <v>98.37</v>
      </c>
      <c r="V17" s="129">
        <f t="shared" si="6"/>
        <v>1467.7449999999999</v>
      </c>
      <c r="X17" s="169"/>
    </row>
    <row r="18" spans="2:24" ht="21" x14ac:dyDescent="0.35">
      <c r="B18" s="102" t="s">
        <v>61</v>
      </c>
      <c r="C18" s="125" t="s">
        <v>43</v>
      </c>
      <c r="D18" s="102" t="s">
        <v>3</v>
      </c>
      <c r="E18" s="103">
        <v>4358.17</v>
      </c>
      <c r="F18" s="126">
        <v>15</v>
      </c>
      <c r="G18" s="127">
        <v>1211</v>
      </c>
      <c r="H18" s="103"/>
      <c r="I18" s="32"/>
      <c r="J18" s="103"/>
      <c r="K18" s="103">
        <f t="shared" si="1"/>
        <v>4358.17</v>
      </c>
      <c r="L18" s="103"/>
      <c r="M18" s="103"/>
      <c r="N18" s="103">
        <v>357.97</v>
      </c>
      <c r="O18" s="103">
        <v>0.01</v>
      </c>
      <c r="P18" s="156">
        <f t="shared" si="2"/>
        <v>501.19</v>
      </c>
      <c r="Q18" s="103">
        <f t="shared" si="3"/>
        <v>2070.17</v>
      </c>
      <c r="R18" s="171">
        <f t="shared" si="4"/>
        <v>2288</v>
      </c>
      <c r="S18" s="29">
        <v>312.95</v>
      </c>
      <c r="T18" s="128">
        <f t="shared" si="7"/>
        <v>893.43</v>
      </c>
      <c r="U18" s="157">
        <f t="shared" si="5"/>
        <v>87.16</v>
      </c>
      <c r="V18" s="129">
        <f t="shared" si="6"/>
        <v>1293.54</v>
      </c>
      <c r="X18" s="169"/>
    </row>
    <row r="19" spans="2:24" ht="21" x14ac:dyDescent="0.35">
      <c r="B19" s="102" t="s">
        <v>62</v>
      </c>
      <c r="C19" s="125" t="s">
        <v>42</v>
      </c>
      <c r="D19" s="102" t="s">
        <v>119</v>
      </c>
      <c r="E19" s="103">
        <v>4918.3649999999998</v>
      </c>
      <c r="F19" s="126">
        <v>15</v>
      </c>
      <c r="G19" s="127">
        <v>1213.4000000000001</v>
      </c>
      <c r="H19" s="130"/>
      <c r="I19" s="139"/>
      <c r="J19" s="103"/>
      <c r="K19" s="103">
        <f>E19-I19+H19</f>
        <v>4918.3649999999998</v>
      </c>
      <c r="L19" s="103"/>
      <c r="M19" s="103"/>
      <c r="N19" s="103">
        <v>447.61</v>
      </c>
      <c r="O19" s="103">
        <v>0.15</v>
      </c>
      <c r="P19" s="156">
        <f t="shared" si="2"/>
        <v>565.61</v>
      </c>
      <c r="Q19" s="103">
        <f t="shared" si="3"/>
        <v>2226.77</v>
      </c>
      <c r="R19" s="171">
        <f t="shared" si="4"/>
        <v>2691.5949999999998</v>
      </c>
      <c r="S19" s="29">
        <v>361.11500000000001</v>
      </c>
      <c r="T19" s="128">
        <f t="shared" si="7"/>
        <v>1008.26</v>
      </c>
      <c r="U19" s="157">
        <f t="shared" si="5"/>
        <v>98.37</v>
      </c>
      <c r="V19" s="129">
        <f t="shared" si="6"/>
        <v>1467.7449999999999</v>
      </c>
      <c r="X19" s="169"/>
    </row>
    <row r="20" spans="2:24" ht="18.75" x14ac:dyDescent="0.3">
      <c r="B20" s="138" t="s">
        <v>20</v>
      </c>
      <c r="C20" s="194"/>
      <c r="D20" s="133"/>
      <c r="E20" s="135">
        <f>SUM(E12:E19)</f>
        <v>53558.664999999994</v>
      </c>
      <c r="F20" s="135"/>
      <c r="G20" s="135">
        <f>+G19+G18+G17+G16+G12+G13+G14</f>
        <v>13005.58</v>
      </c>
      <c r="H20" s="135"/>
      <c r="I20" s="135">
        <f t="shared" ref="I20:V20" si="8">SUM(I12:I19)</f>
        <v>0</v>
      </c>
      <c r="J20" s="135">
        <f t="shared" si="8"/>
        <v>0</v>
      </c>
      <c r="K20" s="135">
        <f>SUM(K12:K19)</f>
        <v>53558.664999999994</v>
      </c>
      <c r="L20" s="135">
        <f t="shared" ref="L20" si="9">SUM(L12:L19)</f>
        <v>0</v>
      </c>
      <c r="M20" s="135">
        <f>SUM(M12:M19)</f>
        <v>0</v>
      </c>
      <c r="N20" s="135">
        <f>SUM(N12:N19)</f>
        <v>6528.11</v>
      </c>
      <c r="O20" s="135">
        <f t="shared" si="8"/>
        <v>0.15</v>
      </c>
      <c r="P20" s="135">
        <f>SUM(P12:P19)</f>
        <v>6159.2399999999989</v>
      </c>
      <c r="Q20" s="135">
        <f t="shared" si="8"/>
        <v>25693.079999999998</v>
      </c>
      <c r="R20" s="135">
        <f>ROUND(SUM(R12:R19),1)</f>
        <v>27865.599999999999</v>
      </c>
      <c r="S20" s="135">
        <f>SUM(S12:S19)</f>
        <v>3264.5449999999992</v>
      </c>
      <c r="T20" s="135">
        <f t="shared" si="8"/>
        <v>10979.51</v>
      </c>
      <c r="U20" s="135">
        <f>SUM(U12:U19)</f>
        <v>1071.19</v>
      </c>
      <c r="V20" s="135">
        <f t="shared" si="8"/>
        <v>15315.244999999999</v>
      </c>
      <c r="X20" s="169"/>
    </row>
    <row r="21" spans="2:24" ht="18.75" hidden="1" x14ac:dyDescent="0.3">
      <c r="B21" s="138"/>
      <c r="C21" s="136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37"/>
      <c r="X21" s="169"/>
    </row>
    <row r="22" spans="2:24" ht="18.75" x14ac:dyDescent="0.3">
      <c r="B22" s="138" t="s">
        <v>31</v>
      </c>
      <c r="C22" s="31" t="s">
        <v>83</v>
      </c>
      <c r="E22" s="103"/>
      <c r="F22" s="103"/>
      <c r="G22" s="103"/>
      <c r="H22" s="103"/>
      <c r="I22" s="103"/>
      <c r="J22" s="103"/>
      <c r="K22" s="142"/>
      <c r="L22" s="142"/>
      <c r="M22" s="103"/>
      <c r="N22" s="103"/>
      <c r="O22" s="103"/>
      <c r="P22" s="103"/>
      <c r="Q22" s="103"/>
      <c r="R22" s="137"/>
      <c r="X22" s="169"/>
    </row>
    <row r="23" spans="2:24" ht="21" x14ac:dyDescent="0.35">
      <c r="B23" s="102" t="s">
        <v>63</v>
      </c>
      <c r="C23" s="125" t="s">
        <v>110</v>
      </c>
      <c r="D23" s="158" t="s">
        <v>132</v>
      </c>
      <c r="E23" s="103">
        <v>7000.8</v>
      </c>
      <c r="F23" s="126">
        <v>15</v>
      </c>
      <c r="G23" s="103"/>
      <c r="H23" s="103"/>
      <c r="I23" s="103"/>
      <c r="J23" s="103"/>
      <c r="K23" s="103">
        <f>E23-I23</f>
        <v>7000.8</v>
      </c>
      <c r="L23" s="103">
        <v>0</v>
      </c>
      <c r="M23" s="103"/>
      <c r="N23" s="103">
        <v>857.15</v>
      </c>
      <c r="O23" s="103">
        <v>0.16</v>
      </c>
      <c r="P23" s="156">
        <f>ROUND(E23*0.115,2)</f>
        <v>805.09</v>
      </c>
      <c r="Q23" s="103">
        <f t="shared" ref="Q23:Q24" si="10">SUM(N23:P23)+G23</f>
        <v>1662.4</v>
      </c>
      <c r="R23" s="171">
        <f>K23-Q23</f>
        <v>5338.4</v>
      </c>
      <c r="S23" s="170">
        <v>419.125</v>
      </c>
      <c r="T23" s="128">
        <f t="shared" ref="T23:T26" si="11">ROUND(+E23*17.5%,2)+ROUND(E23*3%,2)</f>
        <v>1435.16</v>
      </c>
      <c r="U23" s="157">
        <f t="shared" ref="U23:U26" si="12">ROUND(+E23*2%,2)</f>
        <v>140.02000000000001</v>
      </c>
      <c r="V23" s="129">
        <f t="shared" ref="V23:V24" si="13">SUM(S23:U23)</f>
        <v>1994.3050000000001</v>
      </c>
      <c r="X23" s="169"/>
    </row>
    <row r="24" spans="2:24" ht="21" x14ac:dyDescent="0.35">
      <c r="B24" s="102" t="s">
        <v>112</v>
      </c>
      <c r="C24" s="125" t="s">
        <v>113</v>
      </c>
      <c r="D24" s="158" t="s">
        <v>133</v>
      </c>
      <c r="E24" s="103">
        <v>7000.8</v>
      </c>
      <c r="F24" s="126">
        <v>15</v>
      </c>
      <c r="G24" s="103"/>
      <c r="H24" s="103"/>
      <c r="I24" s="139"/>
      <c r="J24" s="103"/>
      <c r="K24" s="103">
        <f>E24-I24</f>
        <v>7000.8</v>
      </c>
      <c r="L24" s="103">
        <v>0</v>
      </c>
      <c r="M24" s="103"/>
      <c r="N24" s="103">
        <v>857.15</v>
      </c>
      <c r="O24" s="103">
        <v>0.16</v>
      </c>
      <c r="P24" s="156">
        <f>ROUND(E24*0.115,2)</f>
        <v>805.09</v>
      </c>
      <c r="Q24" s="103">
        <f t="shared" si="10"/>
        <v>1662.4</v>
      </c>
      <c r="R24" s="171">
        <f>K24-Q24</f>
        <v>5338.4</v>
      </c>
      <c r="S24" s="170">
        <v>419.125</v>
      </c>
      <c r="T24" s="128">
        <f t="shared" si="11"/>
        <v>1435.16</v>
      </c>
      <c r="U24" s="157">
        <f t="shared" si="12"/>
        <v>140.02000000000001</v>
      </c>
      <c r="V24" s="129">
        <f t="shared" si="13"/>
        <v>1994.3050000000001</v>
      </c>
      <c r="X24" s="169"/>
    </row>
    <row r="25" spans="2:24" ht="21" x14ac:dyDescent="0.35">
      <c r="B25" s="102" t="s">
        <v>64</v>
      </c>
      <c r="C25" s="125" t="s">
        <v>45</v>
      </c>
      <c r="D25" s="102" t="s">
        <v>122</v>
      </c>
      <c r="E25" s="103">
        <v>7000.8</v>
      </c>
      <c r="F25" s="126">
        <v>15</v>
      </c>
      <c r="G25" s="141"/>
      <c r="H25" s="103"/>
      <c r="I25" s="143"/>
      <c r="J25" s="103"/>
      <c r="K25" s="103">
        <f>E25-I25</f>
        <v>7000.8</v>
      </c>
      <c r="L25" s="103">
        <v>0</v>
      </c>
      <c r="M25" s="103"/>
      <c r="N25" s="103">
        <v>857.15</v>
      </c>
      <c r="O25" s="103">
        <v>-0.04</v>
      </c>
      <c r="P25" s="156">
        <f>ROUND(E25*0.115,2)</f>
        <v>805.09</v>
      </c>
      <c r="Q25" s="103">
        <f>SUM(N25:P25)+G25</f>
        <v>1662.2</v>
      </c>
      <c r="R25" s="171">
        <f>K25-Q25</f>
        <v>5338.6</v>
      </c>
      <c r="S25" s="170">
        <v>419.125</v>
      </c>
      <c r="T25" s="128">
        <f t="shared" si="11"/>
        <v>1435.16</v>
      </c>
      <c r="U25" s="157">
        <f t="shared" si="12"/>
        <v>140.02000000000001</v>
      </c>
      <c r="V25" s="129">
        <f>SUM(S25:U25)</f>
        <v>1994.3050000000001</v>
      </c>
      <c r="X25" s="169"/>
    </row>
    <row r="26" spans="2:24" ht="21" x14ac:dyDescent="0.35">
      <c r="B26" s="102" t="s">
        <v>65</v>
      </c>
      <c r="C26" s="125" t="s">
        <v>59</v>
      </c>
      <c r="D26" s="158" t="s">
        <v>134</v>
      </c>
      <c r="E26" s="103">
        <v>7000.8</v>
      </c>
      <c r="F26" s="126">
        <v>15</v>
      </c>
      <c r="G26" s="127">
        <v>1189</v>
      </c>
      <c r="H26" s="130"/>
      <c r="I26" s="130"/>
      <c r="J26" s="103"/>
      <c r="K26" s="103">
        <f>E26-I26+H26</f>
        <v>7000.8</v>
      </c>
      <c r="L26" s="103">
        <v>0</v>
      </c>
      <c r="M26" s="103"/>
      <c r="N26" s="103">
        <v>857.15</v>
      </c>
      <c r="O26" s="103">
        <v>-0.04</v>
      </c>
      <c r="P26" s="156">
        <f>ROUND(E26*0.115,2)</f>
        <v>805.09</v>
      </c>
      <c r="Q26" s="103">
        <f>SUM(N26:P26)+G26</f>
        <v>2851.2</v>
      </c>
      <c r="R26" s="171">
        <f>K26-Q26</f>
        <v>4149.6000000000004</v>
      </c>
      <c r="S26" s="170">
        <v>419.125</v>
      </c>
      <c r="T26" s="128">
        <f t="shared" si="11"/>
        <v>1435.16</v>
      </c>
      <c r="U26" s="157">
        <f t="shared" si="12"/>
        <v>140.02000000000001</v>
      </c>
      <c r="V26" s="129">
        <f>SUM(S26:U26)</f>
        <v>1994.3050000000001</v>
      </c>
      <c r="X26" s="169"/>
    </row>
    <row r="27" spans="2:24" ht="18.75" x14ac:dyDescent="0.3">
      <c r="B27" s="138" t="s">
        <v>20</v>
      </c>
      <c r="C27" s="132"/>
      <c r="D27" s="133"/>
      <c r="E27" s="135">
        <f>SUM(E23:E26)</f>
        <v>28003.200000000001</v>
      </c>
      <c r="F27" s="135"/>
      <c r="G27" s="135">
        <f>+G26+G25+G23+G24</f>
        <v>1189</v>
      </c>
      <c r="H27" s="135"/>
      <c r="I27" s="135">
        <f t="shared" ref="I27:J27" si="14">SUM(I23:I26)</f>
        <v>0</v>
      </c>
      <c r="J27" s="135">
        <f t="shared" si="14"/>
        <v>0</v>
      </c>
      <c r="K27" s="135">
        <f>SUM(K23:K26)</f>
        <v>28003.200000000001</v>
      </c>
      <c r="L27" s="135">
        <f t="shared" ref="L27" si="15">SUM(L23:L26)</f>
        <v>0</v>
      </c>
      <c r="M27" s="135">
        <f>SUM(M23:M26)</f>
        <v>0</v>
      </c>
      <c r="N27" s="135">
        <f>SUM(N23:N26)</f>
        <v>3428.6</v>
      </c>
      <c r="O27" s="135">
        <f t="shared" ref="O27:Q27" si="16">SUM(O23:O26)</f>
        <v>0.24000000000000002</v>
      </c>
      <c r="P27" s="135">
        <f>SUM(P23:P26)</f>
        <v>3220.36</v>
      </c>
      <c r="Q27" s="135">
        <f t="shared" si="16"/>
        <v>7838.2</v>
      </c>
      <c r="R27" s="135">
        <f>ROUND(SUM(R23:R26),1)</f>
        <v>20165</v>
      </c>
      <c r="S27" s="135">
        <f>SUM(S23:S26)</f>
        <v>1676.5</v>
      </c>
      <c r="T27" s="135">
        <f>SUM(T23:T26)</f>
        <v>5740.64</v>
      </c>
      <c r="U27" s="135">
        <f>SUM(U23:U26)</f>
        <v>560.08000000000004</v>
      </c>
      <c r="V27" s="135">
        <f>SUM(V23:V26)</f>
        <v>7977.22</v>
      </c>
      <c r="X27" s="169"/>
    </row>
    <row r="28" spans="2:24" ht="18.75" hidden="1" x14ac:dyDescent="0.3">
      <c r="C28" s="136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37"/>
      <c r="X28" s="169"/>
    </row>
    <row r="29" spans="2:24" ht="18.75" x14ac:dyDescent="0.3">
      <c r="B29" s="138" t="s">
        <v>33</v>
      </c>
      <c r="C29" s="31" t="s">
        <v>32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37"/>
      <c r="X29" s="169"/>
    </row>
    <row r="30" spans="2:24" ht="21" x14ac:dyDescent="0.35">
      <c r="B30" s="102" t="s">
        <v>66</v>
      </c>
      <c r="C30" s="125" t="s">
        <v>49</v>
      </c>
      <c r="D30" s="158" t="s">
        <v>128</v>
      </c>
      <c r="E30" s="103">
        <v>7000.8</v>
      </c>
      <c r="F30" s="126">
        <v>15</v>
      </c>
      <c r="G30" s="103"/>
      <c r="H30" s="103"/>
      <c r="I30" s="144"/>
      <c r="J30" s="103"/>
      <c r="K30" s="103">
        <f t="shared" ref="K30:K44" si="17">E30-I30</f>
        <v>7000.8</v>
      </c>
      <c r="L30" s="103">
        <v>0</v>
      </c>
      <c r="M30" s="103"/>
      <c r="N30" s="103">
        <v>857.15</v>
      </c>
      <c r="O30" s="103">
        <v>-0.04</v>
      </c>
      <c r="P30" s="156">
        <f>ROUND(E30*0.115,2)</f>
        <v>805.09</v>
      </c>
      <c r="Q30" s="103">
        <f t="shared" ref="Q30:Q40" si="18">SUM(N30:P30)+G30</f>
        <v>1662.2</v>
      </c>
      <c r="R30" s="171">
        <f t="shared" ref="R30:R44" si="19">K30-Q30</f>
        <v>5338.6</v>
      </c>
      <c r="S30" s="170">
        <v>419.125</v>
      </c>
      <c r="T30" s="128">
        <f t="shared" ref="T30:T40" si="20">ROUND(+E30*17.5%,2)+ROUND(E30*3%,2)</f>
        <v>1435.16</v>
      </c>
      <c r="U30" s="157">
        <f t="shared" ref="U30:U40" si="21">ROUND(+E30*2%,2)</f>
        <v>140.02000000000001</v>
      </c>
      <c r="V30" s="129">
        <f>SUM(S30:U30)</f>
        <v>1994.3050000000001</v>
      </c>
      <c r="X30" s="169"/>
    </row>
    <row r="31" spans="2:24" ht="21" x14ac:dyDescent="0.35">
      <c r="B31" s="102" t="s">
        <v>67</v>
      </c>
      <c r="C31" s="125" t="s">
        <v>51</v>
      </c>
      <c r="D31" s="158" t="s">
        <v>135</v>
      </c>
      <c r="E31" s="103">
        <v>7000.8</v>
      </c>
      <c r="F31" s="126">
        <v>15</v>
      </c>
      <c r="G31" s="141"/>
      <c r="H31" s="103"/>
      <c r="I31" s="130"/>
      <c r="J31" s="141"/>
      <c r="K31" s="141">
        <f t="shared" si="17"/>
        <v>7000.8</v>
      </c>
      <c r="L31" s="141">
        <v>0</v>
      </c>
      <c r="M31" s="103"/>
      <c r="N31" s="103">
        <v>857.15</v>
      </c>
      <c r="O31" s="103">
        <v>-0.04</v>
      </c>
      <c r="P31" s="156">
        <f t="shared" ref="P31:P40" si="22">ROUND(E31*0.115,2)</f>
        <v>805.09</v>
      </c>
      <c r="Q31" s="103">
        <f>SUM(N31:P31)+G31</f>
        <v>1662.2</v>
      </c>
      <c r="R31" s="171">
        <f t="shared" si="19"/>
        <v>5338.6</v>
      </c>
      <c r="S31" s="170">
        <v>419.125</v>
      </c>
      <c r="T31" s="128">
        <f t="shared" si="20"/>
        <v>1435.16</v>
      </c>
      <c r="U31" s="157">
        <f t="shared" si="21"/>
        <v>140.02000000000001</v>
      </c>
      <c r="V31" s="129">
        <f>SUM(S31:U31)</f>
        <v>1994.3050000000001</v>
      </c>
      <c r="X31" s="169"/>
    </row>
    <row r="32" spans="2:24" ht="21" x14ac:dyDescent="0.35">
      <c r="B32" s="102" t="s">
        <v>68</v>
      </c>
      <c r="C32" s="125" t="s">
        <v>48</v>
      </c>
      <c r="D32" s="102" t="s">
        <v>123</v>
      </c>
      <c r="E32" s="103">
        <v>7443.8</v>
      </c>
      <c r="F32" s="126">
        <v>15</v>
      </c>
      <c r="G32" s="103"/>
      <c r="H32" s="103"/>
      <c r="I32" s="130"/>
      <c r="J32" s="103"/>
      <c r="K32" s="103">
        <f t="shared" si="17"/>
        <v>7443.8</v>
      </c>
      <c r="L32" s="103">
        <v>0</v>
      </c>
      <c r="M32" s="103"/>
      <c r="N32" s="103">
        <v>951.78</v>
      </c>
      <c r="O32" s="103">
        <v>-0.02</v>
      </c>
      <c r="P32" s="156">
        <f t="shared" si="22"/>
        <v>856.04</v>
      </c>
      <c r="Q32" s="103">
        <f t="shared" si="18"/>
        <v>1807.8</v>
      </c>
      <c r="R32" s="171">
        <f t="shared" si="19"/>
        <v>5636</v>
      </c>
      <c r="S32" s="170">
        <v>432.30499999999995</v>
      </c>
      <c r="T32" s="128">
        <f t="shared" si="20"/>
        <v>1525.98</v>
      </c>
      <c r="U32" s="157">
        <f>ROUND(+E32*2%,2)</f>
        <v>148.88</v>
      </c>
      <c r="V32" s="129">
        <f t="shared" ref="V32:V40" si="23">SUM(S32:U32)</f>
        <v>2107.165</v>
      </c>
      <c r="X32" s="169"/>
    </row>
    <row r="33" spans="2:24" ht="21" x14ac:dyDescent="0.35">
      <c r="B33" s="102" t="s">
        <v>77</v>
      </c>
      <c r="C33" s="125" t="s">
        <v>111</v>
      </c>
      <c r="D33" s="102" t="s">
        <v>127</v>
      </c>
      <c r="E33" s="103">
        <v>7000.8</v>
      </c>
      <c r="F33" s="126">
        <v>15</v>
      </c>
      <c r="G33" s="127">
        <v>1167</v>
      </c>
      <c r="H33" s="103"/>
      <c r="I33" s="144"/>
      <c r="J33" s="103"/>
      <c r="K33" s="103">
        <f>E33-I33</f>
        <v>7000.8</v>
      </c>
      <c r="L33" s="103">
        <v>0</v>
      </c>
      <c r="M33" s="103"/>
      <c r="N33" s="103">
        <v>857.15</v>
      </c>
      <c r="O33" s="103">
        <v>0.16</v>
      </c>
      <c r="P33" s="156">
        <f t="shared" si="22"/>
        <v>805.09</v>
      </c>
      <c r="Q33" s="103">
        <f>SUM(N33:P33)+G33</f>
        <v>2829.4</v>
      </c>
      <c r="R33" s="171">
        <f>K33-Q33</f>
        <v>4171.3999999999996</v>
      </c>
      <c r="S33" s="170">
        <v>419.125</v>
      </c>
      <c r="T33" s="128">
        <f t="shared" si="20"/>
        <v>1435.16</v>
      </c>
      <c r="U33" s="157">
        <f t="shared" si="21"/>
        <v>140.02000000000001</v>
      </c>
      <c r="V33" s="129">
        <f t="shared" si="23"/>
        <v>1994.3050000000001</v>
      </c>
      <c r="X33" s="169"/>
    </row>
    <row r="34" spans="2:24" ht="21" x14ac:dyDescent="0.35">
      <c r="B34" s="102" t="s">
        <v>70</v>
      </c>
      <c r="C34" s="125" t="s">
        <v>46</v>
      </c>
      <c r="D34" s="102" t="s">
        <v>124</v>
      </c>
      <c r="E34" s="103">
        <v>7000.8</v>
      </c>
      <c r="F34" s="126">
        <v>15</v>
      </c>
      <c r="G34" s="127">
        <v>1945</v>
      </c>
      <c r="H34" s="103"/>
      <c r="I34" s="139"/>
      <c r="J34" s="141"/>
      <c r="K34" s="141">
        <f t="shared" si="17"/>
        <v>7000.8</v>
      </c>
      <c r="L34" s="141">
        <v>0</v>
      </c>
      <c r="M34" s="103"/>
      <c r="N34" s="103">
        <v>857.15</v>
      </c>
      <c r="O34" s="103">
        <v>-0.04</v>
      </c>
      <c r="P34" s="156">
        <f t="shared" si="22"/>
        <v>805.09</v>
      </c>
      <c r="Q34" s="103">
        <f t="shared" si="18"/>
        <v>3607.2</v>
      </c>
      <c r="R34" s="171">
        <f t="shared" si="19"/>
        <v>3393.6000000000004</v>
      </c>
      <c r="S34" s="170">
        <v>419.125</v>
      </c>
      <c r="T34" s="128">
        <f t="shared" si="20"/>
        <v>1435.16</v>
      </c>
      <c r="U34" s="157">
        <f t="shared" si="21"/>
        <v>140.02000000000001</v>
      </c>
      <c r="V34" s="129">
        <f t="shared" si="23"/>
        <v>1994.3050000000001</v>
      </c>
      <c r="X34" s="169"/>
    </row>
    <row r="35" spans="2:24" ht="21" x14ac:dyDescent="0.35">
      <c r="B35" s="102" t="s">
        <v>71</v>
      </c>
      <c r="C35" s="125" t="s">
        <v>50</v>
      </c>
      <c r="D35" s="102" t="s">
        <v>124</v>
      </c>
      <c r="E35" s="103">
        <v>7000.8</v>
      </c>
      <c r="F35" s="126">
        <v>15</v>
      </c>
      <c r="G35" s="103"/>
      <c r="H35" s="141"/>
      <c r="I35" s="130"/>
      <c r="J35" s="141"/>
      <c r="K35" s="141">
        <f t="shared" si="17"/>
        <v>7000.8</v>
      </c>
      <c r="L35" s="141">
        <v>0</v>
      </c>
      <c r="M35" s="103"/>
      <c r="N35" s="103">
        <v>857.15</v>
      </c>
      <c r="O35" s="103">
        <v>-0.04</v>
      </c>
      <c r="P35" s="156">
        <f t="shared" si="22"/>
        <v>805.09</v>
      </c>
      <c r="Q35" s="103">
        <f t="shared" si="18"/>
        <v>1662.2</v>
      </c>
      <c r="R35" s="171">
        <f t="shared" si="19"/>
        <v>5338.6</v>
      </c>
      <c r="S35" s="170">
        <v>419.125</v>
      </c>
      <c r="T35" s="128">
        <f t="shared" si="20"/>
        <v>1435.16</v>
      </c>
      <c r="U35" s="157">
        <f t="shared" si="21"/>
        <v>140.02000000000001</v>
      </c>
      <c r="V35" s="129">
        <f t="shared" si="23"/>
        <v>1994.3050000000001</v>
      </c>
      <c r="X35" s="169"/>
    </row>
    <row r="36" spans="2:24" ht="21" x14ac:dyDescent="0.35">
      <c r="B36" s="102" t="s">
        <v>72</v>
      </c>
      <c r="C36" s="125" t="s">
        <v>52</v>
      </c>
      <c r="D36" s="102" t="s">
        <v>124</v>
      </c>
      <c r="E36" s="103">
        <v>7000.8</v>
      </c>
      <c r="F36" s="126">
        <v>15</v>
      </c>
      <c r="G36" s="103"/>
      <c r="H36" s="103"/>
      <c r="I36" s="139"/>
      <c r="J36" s="141"/>
      <c r="K36" s="141">
        <f t="shared" si="17"/>
        <v>7000.8</v>
      </c>
      <c r="L36" s="141">
        <v>0</v>
      </c>
      <c r="M36" s="103"/>
      <c r="N36" s="103">
        <v>857.15</v>
      </c>
      <c r="O36" s="103">
        <v>0.16</v>
      </c>
      <c r="P36" s="156">
        <f t="shared" si="22"/>
        <v>805.09</v>
      </c>
      <c r="Q36" s="103">
        <f t="shared" si="18"/>
        <v>1662.4</v>
      </c>
      <c r="R36" s="171">
        <f t="shared" si="19"/>
        <v>5338.4</v>
      </c>
      <c r="S36" s="170">
        <v>419.125</v>
      </c>
      <c r="T36" s="128">
        <f t="shared" si="20"/>
        <v>1435.16</v>
      </c>
      <c r="U36" s="157">
        <f t="shared" si="21"/>
        <v>140.02000000000001</v>
      </c>
      <c r="V36" s="129">
        <f t="shared" si="23"/>
        <v>1994.3050000000001</v>
      </c>
      <c r="X36" s="169"/>
    </row>
    <row r="37" spans="2:24" s="162" customFormat="1" ht="21" x14ac:dyDescent="0.35">
      <c r="B37" s="7" t="s">
        <v>73</v>
      </c>
      <c r="C37" s="30" t="s">
        <v>47</v>
      </c>
      <c r="D37" s="7" t="s">
        <v>125</v>
      </c>
      <c r="E37" s="103">
        <v>7000.8</v>
      </c>
      <c r="F37" s="126">
        <v>15</v>
      </c>
      <c r="G37" s="103"/>
      <c r="H37" s="103"/>
      <c r="I37" s="139"/>
      <c r="J37" s="141"/>
      <c r="K37" s="141">
        <f t="shared" ref="K37" si="24">E37-I37</f>
        <v>7000.8</v>
      </c>
      <c r="L37" s="141">
        <v>0</v>
      </c>
      <c r="M37" s="103"/>
      <c r="N37" s="103">
        <v>857.15</v>
      </c>
      <c r="O37" s="103">
        <v>-0.04</v>
      </c>
      <c r="P37" s="156">
        <f t="shared" ref="P37" si="25">ROUND(E37*0.115,2)</f>
        <v>805.09</v>
      </c>
      <c r="Q37" s="103">
        <f t="shared" ref="Q37" si="26">SUM(N37:P37)+G37</f>
        <v>1662.2</v>
      </c>
      <c r="R37" s="171">
        <f t="shared" ref="R37" si="27">K37-Q37</f>
        <v>5338.6</v>
      </c>
      <c r="S37" s="170">
        <v>419.125</v>
      </c>
      <c r="T37" s="128">
        <f t="shared" ref="T37" si="28">ROUND(+E37*17.5%,2)+ROUND(E37*3%,2)</f>
        <v>1435.16</v>
      </c>
      <c r="U37" s="157">
        <f t="shared" ref="U37" si="29">ROUND(+E37*2%,2)</f>
        <v>140.02000000000001</v>
      </c>
      <c r="V37" s="129">
        <f t="shared" ref="V37" si="30">SUM(S37:U37)</f>
        <v>1994.3050000000001</v>
      </c>
      <c r="X37" s="128"/>
    </row>
    <row r="38" spans="2:24" ht="21" x14ac:dyDescent="0.35">
      <c r="B38" s="102" t="s">
        <v>74</v>
      </c>
      <c r="C38" s="125" t="s">
        <v>53</v>
      </c>
      <c r="D38" s="102" t="s">
        <v>125</v>
      </c>
      <c r="E38" s="103">
        <v>7000.8</v>
      </c>
      <c r="F38" s="126">
        <v>15</v>
      </c>
      <c r="G38" s="141"/>
      <c r="H38" s="103"/>
      <c r="I38" s="139"/>
      <c r="J38" s="103"/>
      <c r="K38" s="103">
        <f t="shared" si="17"/>
        <v>7000.8</v>
      </c>
      <c r="L38" s="103">
        <v>0</v>
      </c>
      <c r="M38" s="103"/>
      <c r="N38" s="103">
        <v>857.15</v>
      </c>
      <c r="O38" s="103">
        <v>-0.04</v>
      </c>
      <c r="P38" s="156">
        <f t="shared" si="22"/>
        <v>805.09</v>
      </c>
      <c r="Q38" s="103">
        <f>SUM(N38:P38)+G38</f>
        <v>1662.2</v>
      </c>
      <c r="R38" s="171">
        <f t="shared" si="19"/>
        <v>5338.6</v>
      </c>
      <c r="S38" s="170">
        <v>419.125</v>
      </c>
      <c r="T38" s="128">
        <f t="shared" si="20"/>
        <v>1435.16</v>
      </c>
      <c r="U38" s="157">
        <f t="shared" si="21"/>
        <v>140.02000000000001</v>
      </c>
      <c r="V38" s="129">
        <f t="shared" si="23"/>
        <v>1994.3050000000001</v>
      </c>
      <c r="X38" s="169"/>
    </row>
    <row r="39" spans="2:24" ht="21" x14ac:dyDescent="0.35">
      <c r="B39" s="102" t="s">
        <v>75</v>
      </c>
      <c r="C39" s="125" t="s">
        <v>39</v>
      </c>
      <c r="D39" s="102" t="s">
        <v>126</v>
      </c>
      <c r="E39" s="103">
        <v>7000.8</v>
      </c>
      <c r="F39" s="126">
        <v>15</v>
      </c>
      <c r="G39" s="141"/>
      <c r="H39" s="103"/>
      <c r="I39" s="144"/>
      <c r="J39" s="103"/>
      <c r="K39" s="103">
        <f t="shared" si="17"/>
        <v>7000.8</v>
      </c>
      <c r="L39" s="103">
        <v>0</v>
      </c>
      <c r="M39" s="103"/>
      <c r="N39" s="103">
        <v>857.15</v>
      </c>
      <c r="O39" s="103">
        <v>-0.04</v>
      </c>
      <c r="P39" s="156">
        <f t="shared" si="22"/>
        <v>805.09</v>
      </c>
      <c r="Q39" s="103">
        <f>SUM(N39:P39)+G39</f>
        <v>1662.2</v>
      </c>
      <c r="R39" s="171">
        <f t="shared" si="19"/>
        <v>5338.6</v>
      </c>
      <c r="S39" s="170">
        <v>419.125</v>
      </c>
      <c r="T39" s="128">
        <f t="shared" si="20"/>
        <v>1435.16</v>
      </c>
      <c r="U39" s="157">
        <f t="shared" si="21"/>
        <v>140.02000000000001</v>
      </c>
      <c r="V39" s="129">
        <f t="shared" si="23"/>
        <v>1994.3050000000001</v>
      </c>
      <c r="X39" s="169"/>
    </row>
    <row r="40" spans="2:24" ht="21" x14ac:dyDescent="0.35">
      <c r="B40" s="102" t="s">
        <v>76</v>
      </c>
      <c r="C40" s="125" t="s">
        <v>54</v>
      </c>
      <c r="D40" s="102" t="s">
        <v>126</v>
      </c>
      <c r="E40" s="103">
        <v>7000.8</v>
      </c>
      <c r="F40" s="126">
        <v>15</v>
      </c>
      <c r="G40" s="127">
        <v>1910</v>
      </c>
      <c r="H40" s="103"/>
      <c r="I40" s="144"/>
      <c r="J40" s="103"/>
      <c r="K40" s="103">
        <f t="shared" si="17"/>
        <v>7000.8</v>
      </c>
      <c r="L40" s="103">
        <v>0</v>
      </c>
      <c r="M40" s="103"/>
      <c r="N40" s="103">
        <v>857.15</v>
      </c>
      <c r="O40" s="103">
        <v>0.16</v>
      </c>
      <c r="P40" s="156">
        <f t="shared" si="22"/>
        <v>805.09</v>
      </c>
      <c r="Q40" s="103">
        <f t="shared" si="18"/>
        <v>3572.4</v>
      </c>
      <c r="R40" s="171">
        <f t="shared" si="19"/>
        <v>3428.4</v>
      </c>
      <c r="S40" s="170">
        <v>419.125</v>
      </c>
      <c r="T40" s="128">
        <f t="shared" si="20"/>
        <v>1435.16</v>
      </c>
      <c r="U40" s="157">
        <f t="shared" si="21"/>
        <v>140.02000000000001</v>
      </c>
      <c r="V40" s="129">
        <f t="shared" si="23"/>
        <v>1994.3050000000001</v>
      </c>
      <c r="X40" s="169"/>
    </row>
    <row r="41" spans="2:24" ht="21" hidden="1" x14ac:dyDescent="0.35">
      <c r="B41" s="158"/>
      <c r="C41" s="30" t="s">
        <v>170</v>
      </c>
      <c r="D41" s="102" t="s">
        <v>125</v>
      </c>
      <c r="E41" s="6">
        <v>0</v>
      </c>
      <c r="F41" s="204">
        <v>0</v>
      </c>
      <c r="G41" s="6"/>
      <c r="H41" s="6"/>
      <c r="I41" s="205"/>
      <c r="J41" s="6"/>
      <c r="K41" s="6">
        <f t="shared" ref="K41" si="31">E41-I41</f>
        <v>0</v>
      </c>
      <c r="L41" s="6">
        <v>0</v>
      </c>
      <c r="M41" s="6"/>
      <c r="N41" s="6">
        <v>0</v>
      </c>
      <c r="O41" s="6"/>
      <c r="P41" s="6">
        <f t="shared" ref="P41" si="32">ROUND(E41*0.115,2)</f>
        <v>0</v>
      </c>
      <c r="Q41" s="6">
        <v>0</v>
      </c>
      <c r="R41" s="201">
        <f>K41-Q41</f>
        <v>0</v>
      </c>
      <c r="S41" s="211">
        <v>0</v>
      </c>
      <c r="T41" s="206">
        <f t="shared" ref="T41" si="33">ROUND(+E41*17.5%,2)+ROUND(E41*3%,2)</f>
        <v>0</v>
      </c>
      <c r="U41" s="206">
        <f t="shared" ref="U41" si="34">ROUND(+E41*2%,2)</f>
        <v>0</v>
      </c>
      <c r="V41" s="207">
        <f t="shared" ref="V41" si="35">SUM(S41:U41)</f>
        <v>0</v>
      </c>
      <c r="X41" s="169"/>
    </row>
    <row r="42" spans="2:24" ht="21" x14ac:dyDescent="0.35">
      <c r="B42" s="158" t="s">
        <v>150</v>
      </c>
      <c r="C42" s="30" t="s">
        <v>171</v>
      </c>
      <c r="D42" s="158" t="s">
        <v>109</v>
      </c>
      <c r="E42" s="103">
        <v>7000.8</v>
      </c>
      <c r="F42" s="126">
        <v>15</v>
      </c>
      <c r="G42" s="141"/>
      <c r="H42" s="103"/>
      <c r="I42" s="144"/>
      <c r="J42" s="103"/>
      <c r="K42" s="103">
        <f t="shared" si="17"/>
        <v>7000.8</v>
      </c>
      <c r="L42" s="103">
        <v>0</v>
      </c>
      <c r="M42" s="103"/>
      <c r="N42" s="103">
        <v>857.15</v>
      </c>
      <c r="O42" s="103">
        <v>0.05</v>
      </c>
      <c r="P42" s="141"/>
      <c r="Q42" s="103">
        <f t="shared" ref="Q42:Q44" si="36">SUM(N42:P42)+G42</f>
        <v>857.19999999999993</v>
      </c>
      <c r="R42" s="171">
        <f t="shared" si="19"/>
        <v>6143.6</v>
      </c>
      <c r="S42" s="170">
        <v>419.125</v>
      </c>
      <c r="T42" s="128"/>
      <c r="U42" s="157"/>
      <c r="V42" s="129">
        <f t="shared" ref="V42:V44" si="37">SUM(S42:U42)</f>
        <v>419.125</v>
      </c>
      <c r="X42" s="169"/>
    </row>
    <row r="43" spans="2:24" ht="21" x14ac:dyDescent="0.35">
      <c r="B43" s="158" t="s">
        <v>151</v>
      </c>
      <c r="C43" s="30" t="s">
        <v>172</v>
      </c>
      <c r="D43" s="158" t="s">
        <v>109</v>
      </c>
      <c r="E43" s="103">
        <v>7000.8</v>
      </c>
      <c r="F43" s="126">
        <v>15</v>
      </c>
      <c r="G43" s="141"/>
      <c r="H43" s="103"/>
      <c r="I43" s="144"/>
      <c r="J43" s="103"/>
      <c r="K43" s="103">
        <f t="shared" si="17"/>
        <v>7000.8</v>
      </c>
      <c r="L43" s="103">
        <v>0</v>
      </c>
      <c r="M43" s="103"/>
      <c r="N43" s="103">
        <v>857.15</v>
      </c>
      <c r="O43" s="103">
        <v>0.05</v>
      </c>
      <c r="P43" s="141"/>
      <c r="Q43" s="103">
        <f t="shared" si="36"/>
        <v>857.19999999999993</v>
      </c>
      <c r="R43" s="171">
        <f t="shared" si="19"/>
        <v>6143.6</v>
      </c>
      <c r="S43" s="170">
        <v>419.125</v>
      </c>
      <c r="T43" s="128"/>
      <c r="U43" s="157"/>
      <c r="V43" s="129">
        <f t="shared" si="37"/>
        <v>419.125</v>
      </c>
      <c r="X43" s="169"/>
    </row>
    <row r="44" spans="2:24" ht="21" x14ac:dyDescent="0.35">
      <c r="B44" s="158" t="s">
        <v>152</v>
      </c>
      <c r="C44" s="30" t="s">
        <v>173</v>
      </c>
      <c r="D44" s="158" t="s">
        <v>109</v>
      </c>
      <c r="E44" s="103">
        <v>7000.8</v>
      </c>
      <c r="F44" s="126">
        <v>15</v>
      </c>
      <c r="G44" s="141"/>
      <c r="H44" s="103"/>
      <c r="I44" s="144"/>
      <c r="J44" s="103"/>
      <c r="K44" s="103">
        <f t="shared" si="17"/>
        <v>7000.8</v>
      </c>
      <c r="L44" s="103">
        <v>0</v>
      </c>
      <c r="M44" s="103"/>
      <c r="N44" s="103">
        <v>857.15</v>
      </c>
      <c r="O44" s="103">
        <v>0.05</v>
      </c>
      <c r="P44" s="141"/>
      <c r="Q44" s="103">
        <f t="shared" si="36"/>
        <v>857.19999999999993</v>
      </c>
      <c r="R44" s="171">
        <f t="shared" si="19"/>
        <v>6143.6</v>
      </c>
      <c r="S44" s="170">
        <v>419.125</v>
      </c>
      <c r="T44" s="128"/>
      <c r="U44" s="157"/>
      <c r="V44" s="129">
        <f t="shared" si="37"/>
        <v>419.125</v>
      </c>
      <c r="X44" s="169"/>
    </row>
    <row r="45" spans="2:24" ht="18.75" x14ac:dyDescent="0.3">
      <c r="B45" s="138" t="s">
        <v>20</v>
      </c>
      <c r="C45" s="132"/>
      <c r="D45" s="133"/>
      <c r="E45" s="135">
        <f>SUM(E30:E44)</f>
        <v>98454.200000000026</v>
      </c>
      <c r="F45" s="135">
        <f t="shared" ref="F45:V45" si="38">SUM(F30:F44)</f>
        <v>210</v>
      </c>
      <c r="G45" s="135">
        <f>SUM(G30:G44)</f>
        <v>5022</v>
      </c>
      <c r="H45" s="135">
        <f t="shared" si="38"/>
        <v>0</v>
      </c>
      <c r="I45" s="135">
        <f t="shared" si="38"/>
        <v>0</v>
      </c>
      <c r="J45" s="135">
        <f t="shared" si="38"/>
        <v>0</v>
      </c>
      <c r="K45" s="135">
        <f>SUM(K30:K44)</f>
        <v>98454.200000000026</v>
      </c>
      <c r="L45" s="135">
        <f t="shared" si="38"/>
        <v>0</v>
      </c>
      <c r="M45" s="135">
        <f t="shared" si="38"/>
        <v>0</v>
      </c>
      <c r="N45" s="135">
        <f t="shared" si="38"/>
        <v>12094.729999999998</v>
      </c>
      <c r="O45" s="135">
        <f t="shared" si="38"/>
        <v>0.32999999999999996</v>
      </c>
      <c r="P45" s="135">
        <f t="shared" si="38"/>
        <v>8906.94</v>
      </c>
      <c r="Q45" s="135">
        <f t="shared" si="38"/>
        <v>26024.000000000004</v>
      </c>
      <c r="R45" s="135">
        <f>ROUND(SUM(R30:R44),1)</f>
        <v>72430.2</v>
      </c>
      <c r="S45" s="135">
        <f>SUM(S30:S44)</f>
        <v>5880.93</v>
      </c>
      <c r="T45" s="135">
        <f t="shared" si="38"/>
        <v>15877.58</v>
      </c>
      <c r="U45" s="135">
        <f t="shared" si="38"/>
        <v>1549.08</v>
      </c>
      <c r="V45" s="135">
        <f t="shared" si="38"/>
        <v>23307.59</v>
      </c>
      <c r="X45" s="169"/>
    </row>
    <row r="46" spans="2:24" ht="18.75" hidden="1" x14ac:dyDescent="0.3">
      <c r="C46" s="136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37"/>
      <c r="X46" s="169"/>
    </row>
    <row r="47" spans="2:24" ht="18.75" x14ac:dyDescent="0.3">
      <c r="B47" s="138" t="s">
        <v>78</v>
      </c>
      <c r="C47" s="31" t="s">
        <v>34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37"/>
      <c r="X47" s="169"/>
    </row>
    <row r="48" spans="2:24" ht="21" x14ac:dyDescent="0.35">
      <c r="B48" s="102" t="s">
        <v>69</v>
      </c>
      <c r="C48" s="125" t="s">
        <v>55</v>
      </c>
      <c r="D48" s="102" t="s">
        <v>130</v>
      </c>
      <c r="E48" s="103">
        <v>7443.8</v>
      </c>
      <c r="F48" s="126">
        <v>15</v>
      </c>
      <c r="G48" s="137"/>
      <c r="H48" s="103"/>
      <c r="I48" s="144"/>
      <c r="J48" s="141"/>
      <c r="K48" s="141">
        <f t="shared" ref="K48" si="39">E48-I48</f>
        <v>7443.8</v>
      </c>
      <c r="L48" s="141"/>
      <c r="M48" s="103"/>
      <c r="N48" s="103">
        <v>951.78</v>
      </c>
      <c r="O48" s="103">
        <v>-0.02</v>
      </c>
      <c r="P48" s="156">
        <f t="shared" ref="P48:P50" si="40">ROUND(E48*0.115,2)</f>
        <v>856.04</v>
      </c>
      <c r="Q48" s="103">
        <f t="shared" ref="Q48" si="41">SUM(N48:P48)+G48</f>
        <v>1807.8</v>
      </c>
      <c r="R48" s="171">
        <f t="shared" ref="R48" si="42">K48-Q48</f>
        <v>5636</v>
      </c>
      <c r="S48" s="170">
        <v>432.30499999999995</v>
      </c>
      <c r="T48" s="128">
        <f t="shared" ref="T48:T50" si="43">ROUND(+E48*17.5%,2)+ROUND(E48*3%,2)</f>
        <v>1525.98</v>
      </c>
      <c r="U48" s="157">
        <f t="shared" ref="U48:U50" si="44">ROUND(+E48*2%,2)</f>
        <v>148.88</v>
      </c>
      <c r="V48" s="129">
        <f t="shared" ref="V48:V53" si="45">SUM(S48:U48)</f>
        <v>2107.165</v>
      </c>
      <c r="X48" s="169"/>
    </row>
    <row r="49" spans="1:24" ht="21" x14ac:dyDescent="0.35">
      <c r="B49" s="102" t="s">
        <v>81</v>
      </c>
      <c r="C49" s="125" t="s">
        <v>44</v>
      </c>
      <c r="D49" s="102" t="s">
        <v>128</v>
      </c>
      <c r="E49" s="103">
        <v>7000.8</v>
      </c>
      <c r="F49" s="126">
        <v>15</v>
      </c>
      <c r="G49" s="127">
        <v>1171.28</v>
      </c>
      <c r="H49" s="103"/>
      <c r="I49" s="144"/>
      <c r="J49" s="103"/>
      <c r="K49" s="103">
        <f>E49-I49</f>
        <v>7000.8</v>
      </c>
      <c r="L49" s="103"/>
      <c r="M49" s="103"/>
      <c r="N49" s="103">
        <v>857.15</v>
      </c>
      <c r="O49" s="103">
        <v>-0.12</v>
      </c>
      <c r="P49" s="156">
        <f t="shared" si="40"/>
        <v>805.09</v>
      </c>
      <c r="Q49" s="103">
        <f>SUM(N49:P49)+G49</f>
        <v>2833.3999999999996</v>
      </c>
      <c r="R49" s="171">
        <f>K49-Q49</f>
        <v>4167.4000000000005</v>
      </c>
      <c r="S49" s="170">
        <v>419.125</v>
      </c>
      <c r="T49" s="128">
        <f t="shared" si="43"/>
        <v>1435.16</v>
      </c>
      <c r="U49" s="157">
        <f t="shared" si="44"/>
        <v>140.02000000000001</v>
      </c>
      <c r="V49" s="129">
        <f t="shared" si="45"/>
        <v>1994.3050000000001</v>
      </c>
      <c r="X49" s="169"/>
    </row>
    <row r="50" spans="1:24" ht="21" x14ac:dyDescent="0.35">
      <c r="B50" s="102" t="s">
        <v>107</v>
      </c>
      <c r="C50" s="125" t="s">
        <v>108</v>
      </c>
      <c r="D50" s="102" t="s">
        <v>109</v>
      </c>
      <c r="E50" s="103">
        <v>7000.8</v>
      </c>
      <c r="F50" s="126">
        <v>15</v>
      </c>
      <c r="G50" s="103"/>
      <c r="H50" s="103"/>
      <c r="I50" s="103"/>
      <c r="J50" s="103"/>
      <c r="K50" s="103">
        <f>E50-I50</f>
        <v>7000.8</v>
      </c>
      <c r="L50" s="103"/>
      <c r="M50" s="103"/>
      <c r="N50" s="103">
        <v>857.15</v>
      </c>
      <c r="O50" s="103">
        <v>-0.04</v>
      </c>
      <c r="P50" s="156">
        <f t="shared" si="40"/>
        <v>805.09</v>
      </c>
      <c r="Q50" s="103">
        <f>SUM(N50:P50)+G50</f>
        <v>1662.2</v>
      </c>
      <c r="R50" s="171">
        <f>K50-Q50</f>
        <v>5338.6</v>
      </c>
      <c r="S50" s="170">
        <v>419.125</v>
      </c>
      <c r="T50" s="128">
        <f t="shared" si="43"/>
        <v>1435.16</v>
      </c>
      <c r="U50" s="157">
        <f t="shared" si="44"/>
        <v>140.02000000000001</v>
      </c>
      <c r="V50" s="129">
        <f t="shared" si="45"/>
        <v>1994.3050000000001</v>
      </c>
      <c r="X50" s="169"/>
    </row>
    <row r="51" spans="1:24" ht="31.5" hidden="1" x14ac:dyDescent="0.35">
      <c r="A51" s="158" t="s">
        <v>179</v>
      </c>
      <c r="B51" s="218" t="s">
        <v>156</v>
      </c>
      <c r="C51" s="219" t="s">
        <v>167</v>
      </c>
      <c r="D51" s="220" t="s">
        <v>160</v>
      </c>
      <c r="E51" s="168"/>
      <c r="F51" s="221">
        <v>0</v>
      </c>
      <c r="G51" s="168"/>
      <c r="H51" s="168"/>
      <c r="I51" s="222"/>
      <c r="J51" s="168"/>
      <c r="K51" s="168">
        <f t="shared" ref="K51:K53" si="46">E51-I51</f>
        <v>0</v>
      </c>
      <c r="L51" s="168"/>
      <c r="M51" s="168"/>
      <c r="N51" s="168">
        <v>0</v>
      </c>
      <c r="O51" s="168">
        <v>0</v>
      </c>
      <c r="P51" s="168"/>
      <c r="Q51" s="168">
        <f t="shared" ref="Q51:Q53" si="47">SUM(N51:P51)+G51</f>
        <v>0</v>
      </c>
      <c r="R51" s="201">
        <f t="shared" ref="R51:R52" si="48">K51-Q51</f>
        <v>0</v>
      </c>
      <c r="S51" s="211">
        <v>0</v>
      </c>
      <c r="T51" s="223"/>
      <c r="U51" s="223"/>
      <c r="V51" s="224">
        <f t="shared" si="45"/>
        <v>0</v>
      </c>
      <c r="X51" s="169"/>
    </row>
    <row r="52" spans="1:24" ht="31.5" x14ac:dyDescent="0.35">
      <c r="B52" s="158" t="s">
        <v>157</v>
      </c>
      <c r="C52" s="30" t="s">
        <v>168</v>
      </c>
      <c r="D52" s="198" t="s">
        <v>160</v>
      </c>
      <c r="E52" s="103">
        <v>6791.5</v>
      </c>
      <c r="F52" s="126">
        <v>15</v>
      </c>
      <c r="G52" s="141"/>
      <c r="H52" s="103"/>
      <c r="I52" s="144"/>
      <c r="J52" s="103"/>
      <c r="K52" s="103">
        <f t="shared" si="46"/>
        <v>6791.5</v>
      </c>
      <c r="L52" s="103"/>
      <c r="M52" s="103"/>
      <c r="N52" s="103">
        <v>812.45</v>
      </c>
      <c r="O52" s="103">
        <v>0.05</v>
      </c>
      <c r="P52" s="156"/>
      <c r="Q52" s="103">
        <f t="shared" si="47"/>
        <v>812.5</v>
      </c>
      <c r="R52" s="171">
        <f t="shared" si="48"/>
        <v>5979</v>
      </c>
      <c r="S52" s="170">
        <v>412.89499999999998</v>
      </c>
      <c r="T52" s="128"/>
      <c r="U52" s="157"/>
      <c r="V52" s="129">
        <f t="shared" si="45"/>
        <v>412.89499999999998</v>
      </c>
      <c r="X52" s="169"/>
    </row>
    <row r="53" spans="1:24" ht="31.5" x14ac:dyDescent="0.35">
      <c r="B53" s="158" t="s">
        <v>158</v>
      </c>
      <c r="C53" s="30" t="s">
        <v>169</v>
      </c>
      <c r="D53" s="198" t="s">
        <v>160</v>
      </c>
      <c r="E53" s="103">
        <v>6791.5</v>
      </c>
      <c r="F53" s="126">
        <v>15</v>
      </c>
      <c r="G53" s="103"/>
      <c r="H53" s="103"/>
      <c r="I53" s="103"/>
      <c r="J53" s="103"/>
      <c r="K53" s="103">
        <f t="shared" si="46"/>
        <v>6791.5</v>
      </c>
      <c r="L53" s="103"/>
      <c r="M53" s="103"/>
      <c r="N53" s="103">
        <v>812.45</v>
      </c>
      <c r="O53" s="103">
        <v>0.05</v>
      </c>
      <c r="P53" s="156"/>
      <c r="Q53" s="103">
        <f t="shared" si="47"/>
        <v>812.5</v>
      </c>
      <c r="R53" s="171">
        <f>K53-Q53</f>
        <v>5979</v>
      </c>
      <c r="S53" s="170">
        <v>412.89499999999998</v>
      </c>
      <c r="T53" s="128"/>
      <c r="U53" s="157"/>
      <c r="V53" s="129">
        <f t="shared" si="45"/>
        <v>412.89499999999998</v>
      </c>
      <c r="X53" s="169"/>
    </row>
    <row r="54" spans="1:24" ht="18.75" x14ac:dyDescent="0.3">
      <c r="B54" s="138" t="s">
        <v>20</v>
      </c>
      <c r="C54" s="132"/>
      <c r="D54" s="133"/>
      <c r="E54" s="135">
        <f>SUM(E48:E53)</f>
        <v>35028.400000000001</v>
      </c>
      <c r="F54" s="135"/>
      <c r="G54" s="135">
        <f t="shared" ref="G54:Q54" si="49">SUM(G48:G53)</f>
        <v>1171.28</v>
      </c>
      <c r="H54" s="135">
        <f t="shared" si="49"/>
        <v>0</v>
      </c>
      <c r="I54" s="135">
        <f t="shared" si="49"/>
        <v>0</v>
      </c>
      <c r="J54" s="135">
        <f t="shared" si="49"/>
        <v>0</v>
      </c>
      <c r="K54" s="135">
        <f t="shared" si="49"/>
        <v>35028.400000000001</v>
      </c>
      <c r="L54" s="135">
        <f t="shared" si="49"/>
        <v>0</v>
      </c>
      <c r="M54" s="135">
        <f t="shared" si="49"/>
        <v>0</v>
      </c>
      <c r="N54" s="135">
        <f t="shared" si="49"/>
        <v>4290.9799999999996</v>
      </c>
      <c r="O54" s="135">
        <f t="shared" si="49"/>
        <v>-0.08</v>
      </c>
      <c r="P54" s="135">
        <f t="shared" si="49"/>
        <v>2466.2200000000003</v>
      </c>
      <c r="Q54" s="135">
        <f t="shared" si="49"/>
        <v>7928.4</v>
      </c>
      <c r="R54" s="135">
        <f>ROUND(SUM(R48:R53),1)</f>
        <v>27100</v>
      </c>
      <c r="S54" s="135">
        <f>SUM(S48:S53)</f>
        <v>2096.3449999999998</v>
      </c>
      <c r="T54" s="135">
        <f>SUM(T48:T53)</f>
        <v>4396.3</v>
      </c>
      <c r="U54" s="135">
        <f>SUM(U48:U53)</f>
        <v>428.91999999999996</v>
      </c>
      <c r="V54" s="135">
        <f>SUM(V48:V53)</f>
        <v>6921.5650000000005</v>
      </c>
      <c r="X54" s="169"/>
    </row>
    <row r="55" spans="1:24" ht="18.75" hidden="1" x14ac:dyDescent="0.3">
      <c r="B55" s="138"/>
      <c r="C55" s="136"/>
      <c r="E55" s="103"/>
      <c r="F55" s="103"/>
      <c r="G55" s="103"/>
      <c r="H55" s="103"/>
      <c r="I55" s="103"/>
      <c r="J55" s="103"/>
      <c r="K55" s="146"/>
      <c r="L55" s="146"/>
      <c r="M55" s="146"/>
      <c r="N55" s="146"/>
      <c r="O55" s="146"/>
      <c r="P55" s="146"/>
      <c r="Q55" s="146"/>
      <c r="R55" s="147"/>
      <c r="S55" s="148"/>
      <c r="T55" s="148"/>
      <c r="U55" s="148"/>
      <c r="V55" s="148"/>
      <c r="X55" s="169"/>
    </row>
    <row r="56" spans="1:24" ht="18.75" x14ac:dyDescent="0.3">
      <c r="B56" s="138" t="s">
        <v>84</v>
      </c>
      <c r="C56" s="31" t="s">
        <v>85</v>
      </c>
      <c r="E56" s="103"/>
      <c r="F56" s="103"/>
      <c r="G56" s="103"/>
      <c r="H56" s="103"/>
      <c r="I56" s="103"/>
      <c r="J56" s="103"/>
      <c r="K56" s="146"/>
      <c r="L56" s="146"/>
      <c r="M56" s="146"/>
      <c r="N56" s="146"/>
      <c r="O56" s="146"/>
      <c r="P56" s="146"/>
      <c r="Q56" s="146"/>
      <c r="R56" s="147"/>
      <c r="S56" s="148"/>
      <c r="T56" s="148"/>
      <c r="U56" s="148"/>
      <c r="V56" s="148"/>
      <c r="X56" s="169"/>
    </row>
    <row r="57" spans="1:24" ht="21" x14ac:dyDescent="0.35">
      <c r="B57" s="102" t="s">
        <v>86</v>
      </c>
      <c r="C57" s="125" t="s">
        <v>30</v>
      </c>
      <c r="D57" s="102" t="s">
        <v>114</v>
      </c>
      <c r="E57" s="103">
        <v>13000</v>
      </c>
      <c r="F57" s="126">
        <v>15</v>
      </c>
      <c r="G57" s="127">
        <v>6251.5</v>
      </c>
      <c r="H57" s="103"/>
      <c r="I57" s="103"/>
      <c r="J57" s="103"/>
      <c r="K57" s="103">
        <f>E57-I57</f>
        <v>13000</v>
      </c>
      <c r="L57" s="103">
        <v>0</v>
      </c>
      <c r="M57" s="103"/>
      <c r="N57" s="103">
        <v>2161.23</v>
      </c>
      <c r="O57" s="103">
        <v>7.0000000000000007E-2</v>
      </c>
      <c r="P57" s="156">
        <f>ROUND(E57*0.115,2)</f>
        <v>1495</v>
      </c>
      <c r="Q57" s="103">
        <f>SUM(N57:P57)+G57</f>
        <v>9907.7999999999993</v>
      </c>
      <c r="R57" s="171">
        <f>K57-Q57</f>
        <v>3092.2000000000007</v>
      </c>
      <c r="S57" s="29">
        <v>597.70000000000005</v>
      </c>
      <c r="T57" s="128">
        <f t="shared" ref="T57" si="50">ROUND(+E57*17.5%,2)+ROUND(E57*3%,2)</f>
        <v>2665</v>
      </c>
      <c r="U57" s="157">
        <f>ROUND(+E57*2%,2)</f>
        <v>260</v>
      </c>
      <c r="V57" s="129">
        <f t="shared" ref="V57" si="51">SUM(S57:U57)</f>
        <v>3522.7</v>
      </c>
      <c r="X57" s="169"/>
    </row>
    <row r="58" spans="1:24" ht="18.75" x14ac:dyDescent="0.3">
      <c r="B58" s="138" t="s">
        <v>20</v>
      </c>
      <c r="E58" s="135">
        <f>E57</f>
        <v>13000</v>
      </c>
      <c r="F58" s="135"/>
      <c r="G58" s="135">
        <f>+G57</f>
        <v>6251.5</v>
      </c>
      <c r="H58" s="135"/>
      <c r="I58" s="135">
        <f>I57</f>
        <v>0</v>
      </c>
      <c r="J58" s="135">
        <f>J57</f>
        <v>0</v>
      </c>
      <c r="K58" s="135">
        <f>K57</f>
        <v>13000</v>
      </c>
      <c r="L58" s="135">
        <f t="shared" ref="L58:V58" si="52">L57</f>
        <v>0</v>
      </c>
      <c r="M58" s="135">
        <f t="shared" si="52"/>
        <v>0</v>
      </c>
      <c r="N58" s="135">
        <f>N57</f>
        <v>2161.23</v>
      </c>
      <c r="O58" s="135">
        <f t="shared" si="52"/>
        <v>7.0000000000000007E-2</v>
      </c>
      <c r="P58" s="135">
        <f>P57</f>
        <v>1495</v>
      </c>
      <c r="Q58" s="135">
        <f t="shared" si="52"/>
        <v>9907.7999999999993</v>
      </c>
      <c r="R58" s="135">
        <f>ROUND(R57,1)</f>
        <v>3092.2</v>
      </c>
      <c r="S58" s="135">
        <f>S57</f>
        <v>597.70000000000005</v>
      </c>
      <c r="T58" s="135">
        <f t="shared" si="52"/>
        <v>2665</v>
      </c>
      <c r="U58" s="135">
        <f>U57</f>
        <v>260</v>
      </c>
      <c r="V58" s="135">
        <f t="shared" si="52"/>
        <v>3522.7</v>
      </c>
      <c r="X58" s="169"/>
    </row>
    <row r="59" spans="1:24" ht="12" customHeight="1" x14ac:dyDescent="0.3">
      <c r="B59" s="138"/>
      <c r="E59" s="103"/>
      <c r="F59" s="103"/>
      <c r="G59" s="103"/>
      <c r="H59" s="103"/>
      <c r="I59" s="103"/>
      <c r="J59" s="103"/>
      <c r="K59" s="146"/>
      <c r="L59" s="146"/>
      <c r="M59" s="146"/>
      <c r="N59" s="146"/>
      <c r="O59" s="146"/>
      <c r="P59" s="146"/>
      <c r="Q59" s="146"/>
      <c r="R59" s="147"/>
      <c r="S59" s="148"/>
      <c r="T59" s="148"/>
      <c r="U59" s="148"/>
      <c r="V59" s="148"/>
    </row>
    <row r="60" spans="1:24" ht="18.75" hidden="1" x14ac:dyDescent="0.3">
      <c r="R60" s="149"/>
    </row>
    <row r="61" spans="1:24" ht="18.75" x14ac:dyDescent="0.3">
      <c r="C61" s="150" t="s">
        <v>56</v>
      </c>
      <c r="E61" s="151">
        <f>E9+E20+E27+E45+E54+E58</f>
        <v>253753.16</v>
      </c>
      <c r="F61" s="151"/>
      <c r="G61" s="152">
        <f>G9+G20+G27+G45+G54+G58</f>
        <v>27639.360000000001</v>
      </c>
      <c r="H61" s="151"/>
      <c r="I61" s="151">
        <f t="shared" ref="I61:Q61" si="53">I9+I20+I27+I45+I54+I58</f>
        <v>0</v>
      </c>
      <c r="J61" s="151">
        <f t="shared" si="53"/>
        <v>0</v>
      </c>
      <c r="K61" s="151">
        <f t="shared" si="53"/>
        <v>253753.16</v>
      </c>
      <c r="L61" s="151">
        <f t="shared" si="53"/>
        <v>0</v>
      </c>
      <c r="M61" s="151">
        <f t="shared" si="53"/>
        <v>0</v>
      </c>
      <c r="N61" s="151">
        <f t="shared" si="53"/>
        <v>32921.21</v>
      </c>
      <c r="O61" s="151">
        <f t="shared" si="53"/>
        <v>0.75</v>
      </c>
      <c r="P61" s="152">
        <f t="shared" si="53"/>
        <v>25204.260000000002</v>
      </c>
      <c r="Q61" s="151">
        <f t="shared" si="53"/>
        <v>85765.58</v>
      </c>
      <c r="R61" s="153">
        <f>ROUND(+R9+R20+R27+R45+R54+R58,1)</f>
        <v>167987.6</v>
      </c>
      <c r="S61" s="151">
        <f>S9+S20+S27+S45+S54+S58</f>
        <v>14702.74</v>
      </c>
      <c r="T61" s="151">
        <f>T58+T54+T45+T27+T20+T9</f>
        <v>44929.312474999999</v>
      </c>
      <c r="U61" s="152">
        <f>U9+U20+U27+U45+U54+U58</f>
        <v>4383.45</v>
      </c>
      <c r="V61" s="154">
        <f>V9+V20+V27+V45+V54+V58</f>
        <v>64015.502475000001</v>
      </c>
    </row>
    <row r="62" spans="1:24" ht="18.75" x14ac:dyDescent="0.3">
      <c r="S62" s="151"/>
      <c r="T62" s="151"/>
    </row>
    <row r="63" spans="1:24" x14ac:dyDescent="0.25">
      <c r="T63" s="103"/>
      <c r="X63" s="169"/>
    </row>
    <row r="65" spans="3:20" x14ac:dyDescent="0.25">
      <c r="I65" s="169"/>
    </row>
    <row r="70" spans="3:20" ht="16.5" thickBot="1" x14ac:dyDescent="0.3">
      <c r="E70" s="293"/>
      <c r="F70" s="293"/>
      <c r="G70" s="225"/>
      <c r="H70" s="225"/>
      <c r="P70" s="294"/>
      <c r="Q70" s="294"/>
    </row>
    <row r="71" spans="3:20" ht="15" x14ac:dyDescent="0.25">
      <c r="E71" s="295" t="s">
        <v>91</v>
      </c>
      <c r="F71" s="295"/>
      <c r="G71" s="226"/>
      <c r="H71" s="226"/>
      <c r="P71" s="155"/>
      <c r="Q71" s="155"/>
      <c r="R71" s="296" t="s">
        <v>82</v>
      </c>
      <c r="S71" s="296"/>
      <c r="T71" s="225"/>
    </row>
    <row r="75" spans="3:20" x14ac:dyDescent="0.25">
      <c r="C75" s="102" t="s">
        <v>90</v>
      </c>
    </row>
  </sheetData>
  <mergeCells count="5">
    <mergeCell ref="B4:V4"/>
    <mergeCell ref="E70:F70"/>
    <mergeCell ref="P70:Q70"/>
    <mergeCell ref="E71:F71"/>
    <mergeCell ref="R71:S71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7B608-E22F-4445-AEA6-4F848D5FDC92}">
  <sheetPr>
    <pageSetUpPr fitToPage="1"/>
  </sheetPr>
  <dimension ref="A3:X74"/>
  <sheetViews>
    <sheetView topLeftCell="B35" zoomScale="85" zoomScaleNormal="85" workbookViewId="0">
      <selection activeCell="G16" sqref="G16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5.85546875" style="102" bestFit="1" customWidth="1"/>
    <col min="8" max="8" width="14.140625" style="102" hidden="1" customWidth="1"/>
    <col min="9" max="9" width="13.28515625" style="102" customWidth="1"/>
    <col min="10" max="10" width="13.28515625" style="102" hidden="1" customWidth="1"/>
    <col min="11" max="11" width="15.85546875" style="102" bestFit="1" customWidth="1"/>
    <col min="12" max="12" width="9.42578125" style="102" hidden="1" customWidth="1"/>
    <col min="13" max="13" width="14.42578125" style="102" hidden="1" customWidth="1"/>
    <col min="14" max="14" width="15.85546875" style="102" bestFit="1" customWidth="1"/>
    <col min="15" max="15" width="11.140625" style="102" bestFit="1" customWidth="1"/>
    <col min="16" max="16" width="14.42578125" style="102" bestFit="1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4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4" ht="16.5" customHeight="1" x14ac:dyDescent="0.25">
      <c r="B4" s="291" t="s">
        <v>181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4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2" t="s">
        <v>148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4" x14ac:dyDescent="0.25">
      <c r="B6" s="121" t="s">
        <v>13</v>
      </c>
      <c r="C6" s="5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4" ht="21" x14ac:dyDescent="0.35">
      <c r="B7" s="102" t="s">
        <v>15</v>
      </c>
      <c r="C7" s="125" t="s">
        <v>16</v>
      </c>
      <c r="D7" s="102" t="s">
        <v>19</v>
      </c>
      <c r="E7" s="103">
        <v>19461.365000000002</v>
      </c>
      <c r="F7" s="126">
        <v>15</v>
      </c>
      <c r="G7" s="141"/>
      <c r="H7" s="103"/>
      <c r="I7" s="103"/>
      <c r="J7" s="103"/>
      <c r="K7" s="103">
        <f>E7-I7</f>
        <v>19461.365000000002</v>
      </c>
      <c r="L7" s="103">
        <v>0</v>
      </c>
      <c r="M7" s="103"/>
      <c r="N7" s="103">
        <v>3721.35</v>
      </c>
      <c r="O7" s="103">
        <v>0.16</v>
      </c>
      <c r="P7" s="156">
        <f>ROUND(E7*0.115,2)</f>
        <v>2238.06</v>
      </c>
      <c r="Q7" s="103">
        <f>SUM(N7:P7)+G7</f>
        <v>5959.57</v>
      </c>
      <c r="R7" s="229">
        <f>K7-Q7</f>
        <v>13501.795000000002</v>
      </c>
      <c r="S7" s="29">
        <v>816.3599999999999</v>
      </c>
      <c r="T7" s="128">
        <f>+E7*17.5%+E7*3%</f>
        <v>3989.5798249999998</v>
      </c>
      <c r="U7" s="157">
        <f>ROUND(+E7*2%,2)</f>
        <v>389.23</v>
      </c>
      <c r="V7" s="129">
        <f>SUM(S7:U7)</f>
        <v>5195.169824999999</v>
      </c>
      <c r="X7" s="169"/>
    </row>
    <row r="8" spans="2:24" ht="21" x14ac:dyDescent="0.35">
      <c r="B8" s="102" t="s">
        <v>17</v>
      </c>
      <c r="C8" s="125" t="s">
        <v>18</v>
      </c>
      <c r="D8" s="102" t="s">
        <v>2</v>
      </c>
      <c r="E8" s="103">
        <v>6247.33</v>
      </c>
      <c r="F8" s="126">
        <v>15</v>
      </c>
      <c r="G8" s="178">
        <v>1000</v>
      </c>
      <c r="H8" s="103"/>
      <c r="I8" s="130"/>
      <c r="J8" s="103"/>
      <c r="K8" s="103">
        <f>E8-I8</f>
        <v>6247.33</v>
      </c>
      <c r="L8" s="103">
        <v>0</v>
      </c>
      <c r="M8" s="103"/>
      <c r="N8" s="103">
        <v>696.21</v>
      </c>
      <c r="O8" s="103">
        <v>-0.12</v>
      </c>
      <c r="P8" s="156">
        <f>ROUND(E8*0.115,2)</f>
        <v>718.44</v>
      </c>
      <c r="Q8" s="103">
        <f>SUM(N8:P8)+G8</f>
        <v>2414.5300000000002</v>
      </c>
      <c r="R8" s="229">
        <f>K8-Q8</f>
        <v>3832.7999999999997</v>
      </c>
      <c r="S8" s="29">
        <v>409.92</v>
      </c>
      <c r="T8" s="128">
        <f>+E8*17.5%+E8*3%</f>
        <v>1280.7026499999997</v>
      </c>
      <c r="U8" s="157">
        <f>ROUND(+E8*2%,2)</f>
        <v>124.95</v>
      </c>
      <c r="V8" s="129">
        <f>SUM(S8:U8)</f>
        <v>1815.5726499999998</v>
      </c>
      <c r="X8" s="169"/>
    </row>
    <row r="9" spans="2:24" ht="18.75" x14ac:dyDescent="0.3">
      <c r="B9" s="131" t="s">
        <v>20</v>
      </c>
      <c r="C9" s="132"/>
      <c r="D9" s="133"/>
      <c r="E9" s="135">
        <f>SUM(E7:E8)</f>
        <v>25708.695</v>
      </c>
      <c r="F9" s="135"/>
      <c r="G9" s="135">
        <f>+G8+G7</f>
        <v>1000</v>
      </c>
      <c r="H9" s="135"/>
      <c r="I9" s="135">
        <f t="shared" ref="I9:V9" si="0">SUM(I7:I8)</f>
        <v>0</v>
      </c>
      <c r="J9" s="135">
        <f t="shared" si="0"/>
        <v>0</v>
      </c>
      <c r="K9" s="135">
        <f>SUM(K7:K8)</f>
        <v>25708.695</v>
      </c>
      <c r="L9" s="135">
        <f t="shared" si="0"/>
        <v>0</v>
      </c>
      <c r="M9" s="135">
        <f>SUM(M7:M8)</f>
        <v>0</v>
      </c>
      <c r="N9" s="135">
        <f>SUM(N7:N8)</f>
        <v>4417.5599999999995</v>
      </c>
      <c r="O9" s="135">
        <f t="shared" si="0"/>
        <v>4.0000000000000008E-2</v>
      </c>
      <c r="P9" s="135">
        <f>SUM(P7:P8)</f>
        <v>2956.5</v>
      </c>
      <c r="Q9" s="135">
        <f t="shared" si="0"/>
        <v>8374.1</v>
      </c>
      <c r="R9" s="135">
        <f>ROUND(SUM(R7:R8),1)</f>
        <v>17334.599999999999</v>
      </c>
      <c r="S9" s="135">
        <f>SUM(S7:S8)</f>
        <v>1226.28</v>
      </c>
      <c r="T9" s="135">
        <f t="shared" si="0"/>
        <v>5270.282475</v>
      </c>
      <c r="U9" s="135">
        <f>SUM(U7:U8)</f>
        <v>514.18000000000006</v>
      </c>
      <c r="V9" s="135">
        <f t="shared" si="0"/>
        <v>7010.7424749999991</v>
      </c>
      <c r="X9" s="169"/>
    </row>
    <row r="10" spans="2:24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4" ht="18.75" x14ac:dyDescent="0.3">
      <c r="B11" s="138" t="s">
        <v>21</v>
      </c>
      <c r="C11" s="31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4" ht="21" x14ac:dyDescent="0.35">
      <c r="B12" s="102" t="s">
        <v>23</v>
      </c>
      <c r="C12" s="125" t="s">
        <v>28</v>
      </c>
      <c r="D12" s="102" t="s">
        <v>114</v>
      </c>
      <c r="E12" s="103">
        <v>13000</v>
      </c>
      <c r="F12" s="126">
        <v>15</v>
      </c>
      <c r="G12" s="178">
        <v>3394</v>
      </c>
      <c r="H12" s="103"/>
      <c r="I12" s="103"/>
      <c r="J12" s="103"/>
      <c r="K12" s="103">
        <f t="shared" ref="K12:K18" si="1">E12-I12</f>
        <v>13000</v>
      </c>
      <c r="L12" s="103">
        <v>0</v>
      </c>
      <c r="M12" s="103"/>
      <c r="N12" s="103">
        <v>2161.23</v>
      </c>
      <c r="O12" s="103">
        <v>0.17</v>
      </c>
      <c r="P12" s="156">
        <f t="shared" ref="P12:P19" si="2">ROUND(E12*0.115,2)</f>
        <v>1495</v>
      </c>
      <c r="Q12" s="103">
        <f t="shared" ref="Q12:Q19" si="3">SUM(N12:P12)+G12</f>
        <v>7050.4</v>
      </c>
      <c r="R12" s="229">
        <f t="shared" ref="R12:R19" si="4">K12-Q12</f>
        <v>5949.6</v>
      </c>
      <c r="S12" s="29">
        <v>617.625</v>
      </c>
      <c r="T12" s="128">
        <f>ROUND(+E12*17.5%,2)+ROUND(E12*3%,2)</f>
        <v>2665</v>
      </c>
      <c r="U12" s="157">
        <f t="shared" ref="U12:U19" si="5">ROUND(+E12*2%,2)</f>
        <v>260</v>
      </c>
      <c r="V12" s="129">
        <f t="shared" ref="V12:V19" si="6">SUM(S12:U12)</f>
        <v>3542.625</v>
      </c>
      <c r="X12" s="169"/>
    </row>
    <row r="13" spans="2:24" ht="21" x14ac:dyDescent="0.35">
      <c r="B13" s="102" t="s">
        <v>24</v>
      </c>
      <c r="C13" s="125" t="s">
        <v>29</v>
      </c>
      <c r="D13" s="102" t="s">
        <v>116</v>
      </c>
      <c r="E13" s="103">
        <v>7000.8</v>
      </c>
      <c r="F13" s="126">
        <v>15</v>
      </c>
      <c r="G13" s="178">
        <v>2129.5700000000002</v>
      </c>
      <c r="H13" s="103"/>
      <c r="I13" s="139"/>
      <c r="J13" s="140"/>
      <c r="K13" s="103">
        <f>E13-I13</f>
        <v>7000.8</v>
      </c>
      <c r="L13" s="103">
        <v>0</v>
      </c>
      <c r="M13" s="103"/>
      <c r="N13" s="103">
        <v>857.15</v>
      </c>
      <c r="O13" s="103">
        <v>-0.01</v>
      </c>
      <c r="P13" s="156">
        <f t="shared" si="2"/>
        <v>805.09</v>
      </c>
      <c r="Q13" s="103">
        <f t="shared" si="3"/>
        <v>3791.8</v>
      </c>
      <c r="R13" s="229">
        <f t="shared" si="4"/>
        <v>3209</v>
      </c>
      <c r="S13" s="29">
        <v>433.09500000000003</v>
      </c>
      <c r="T13" s="128">
        <f t="shared" ref="T13:T19" si="7">ROUND(+E13*17.5%,2)+ROUND(E13*3%,2)</f>
        <v>1435.16</v>
      </c>
      <c r="U13" s="157">
        <f t="shared" si="5"/>
        <v>140.02000000000001</v>
      </c>
      <c r="V13" s="129">
        <f t="shared" si="6"/>
        <v>2008.2750000000001</v>
      </c>
      <c r="X13" s="169"/>
    </row>
    <row r="14" spans="2:24" ht="21" x14ac:dyDescent="0.35">
      <c r="B14" s="102" t="s">
        <v>25</v>
      </c>
      <c r="C14" s="30" t="s">
        <v>174</v>
      </c>
      <c r="D14" s="102" t="s">
        <v>115</v>
      </c>
      <c r="E14" s="103">
        <v>7000.8</v>
      </c>
      <c r="F14" s="126">
        <v>15</v>
      </c>
      <c r="G14" s="178">
        <v>1330.99</v>
      </c>
      <c r="H14" s="141"/>
      <c r="I14" s="139"/>
      <c r="J14" s="140"/>
      <c r="K14" s="103">
        <f>E14-I14</f>
        <v>7000.8</v>
      </c>
      <c r="L14" s="103">
        <v>0</v>
      </c>
      <c r="M14" s="103"/>
      <c r="N14" s="103">
        <v>857.15</v>
      </c>
      <c r="O14" s="103">
        <v>-0.03</v>
      </c>
      <c r="P14" s="156">
        <f>ROUND(E14*0.115,2)</f>
        <v>805.09</v>
      </c>
      <c r="Q14" s="103">
        <f>SUM(N14:P14)+G14</f>
        <v>2993.2</v>
      </c>
      <c r="R14" s="229">
        <f>K14-Q14</f>
        <v>4007.6000000000004</v>
      </c>
      <c r="S14" s="29">
        <v>433.09500000000003</v>
      </c>
      <c r="T14" s="128">
        <f t="shared" si="7"/>
        <v>1435.16</v>
      </c>
      <c r="U14" s="157">
        <f t="shared" si="5"/>
        <v>140.02000000000001</v>
      </c>
      <c r="V14" s="129">
        <f t="shared" si="6"/>
        <v>2008.2750000000001</v>
      </c>
      <c r="X14" s="169"/>
    </row>
    <row r="15" spans="2:24" ht="21" x14ac:dyDescent="0.35">
      <c r="B15" s="102" t="s">
        <v>26</v>
      </c>
      <c r="C15" s="125" t="s">
        <v>58</v>
      </c>
      <c r="D15" s="102" t="s">
        <v>37</v>
      </c>
      <c r="E15" s="103">
        <v>7443.8</v>
      </c>
      <c r="F15" s="126">
        <v>15</v>
      </c>
      <c r="G15" s="103"/>
      <c r="H15" s="103"/>
      <c r="I15" s="139"/>
      <c r="J15" s="103"/>
      <c r="K15" s="103">
        <f t="shared" si="1"/>
        <v>7443.8</v>
      </c>
      <c r="L15" s="103">
        <v>0</v>
      </c>
      <c r="M15" s="103"/>
      <c r="N15" s="103">
        <v>951.78</v>
      </c>
      <c r="O15" s="103">
        <v>-0.02</v>
      </c>
      <c r="P15" s="156">
        <f t="shared" si="2"/>
        <v>856.04</v>
      </c>
      <c r="Q15" s="103">
        <f t="shared" si="3"/>
        <v>1807.8</v>
      </c>
      <c r="R15" s="229">
        <f t="shared" si="4"/>
        <v>5636</v>
      </c>
      <c r="S15" s="29">
        <v>446.71999999999991</v>
      </c>
      <c r="T15" s="128">
        <f t="shared" si="7"/>
        <v>1525.98</v>
      </c>
      <c r="U15" s="157">
        <f t="shared" si="5"/>
        <v>148.88</v>
      </c>
      <c r="V15" s="129">
        <f t="shared" si="6"/>
        <v>2121.58</v>
      </c>
      <c r="X15" s="169"/>
    </row>
    <row r="16" spans="2:24" ht="21" x14ac:dyDescent="0.35">
      <c r="B16" s="102" t="s">
        <v>27</v>
      </c>
      <c r="C16" s="125" t="s">
        <v>40</v>
      </c>
      <c r="D16" s="102" t="s">
        <v>117</v>
      </c>
      <c r="E16" s="103">
        <v>4918.3649999999998</v>
      </c>
      <c r="F16" s="126">
        <v>15</v>
      </c>
      <c r="G16" s="178">
        <v>2050</v>
      </c>
      <c r="H16" s="103"/>
      <c r="I16" s="139"/>
      <c r="J16" s="103"/>
      <c r="K16" s="103">
        <f>E16-I16</f>
        <v>4918.3649999999998</v>
      </c>
      <c r="L16" s="103">
        <v>0</v>
      </c>
      <c r="M16" s="103"/>
      <c r="N16" s="103">
        <v>447.61</v>
      </c>
      <c r="O16" s="103">
        <v>-0.05</v>
      </c>
      <c r="P16" s="156">
        <f>ROUND(E16*0.115,2)</f>
        <v>565.61</v>
      </c>
      <c r="Q16" s="103">
        <f>SUM(N16:P16)+G16</f>
        <v>3063.17</v>
      </c>
      <c r="R16" s="229">
        <f t="shared" si="4"/>
        <v>1855.1949999999997</v>
      </c>
      <c r="S16" s="29">
        <v>373.15</v>
      </c>
      <c r="T16" s="128">
        <f t="shared" si="7"/>
        <v>1008.26</v>
      </c>
      <c r="U16" s="157">
        <f t="shared" si="5"/>
        <v>98.37</v>
      </c>
      <c r="V16" s="129">
        <f t="shared" si="6"/>
        <v>1479.7799999999997</v>
      </c>
      <c r="X16" s="169"/>
    </row>
    <row r="17" spans="2:24" ht="21" x14ac:dyDescent="0.35">
      <c r="B17" s="102" t="s">
        <v>60</v>
      </c>
      <c r="C17" s="125" t="s">
        <v>41</v>
      </c>
      <c r="D17" s="102" t="s">
        <v>118</v>
      </c>
      <c r="E17" s="103">
        <v>4918.3649999999998</v>
      </c>
      <c r="F17" s="126">
        <v>15</v>
      </c>
      <c r="G17" s="178">
        <v>1676.62</v>
      </c>
      <c r="H17" s="103"/>
      <c r="I17" s="139"/>
      <c r="J17" s="103"/>
      <c r="K17" s="103">
        <f>E17-I17</f>
        <v>4918.3649999999998</v>
      </c>
      <c r="L17" s="103">
        <v>0</v>
      </c>
      <c r="M17" s="103"/>
      <c r="N17" s="103">
        <v>447.61</v>
      </c>
      <c r="O17" s="103">
        <v>-7.0000000000000007E-2</v>
      </c>
      <c r="P17" s="156">
        <f t="shared" si="2"/>
        <v>565.61</v>
      </c>
      <c r="Q17" s="103">
        <f>SUM(N17:P17)+G17</f>
        <v>2689.77</v>
      </c>
      <c r="R17" s="229">
        <f>K17-Q17</f>
        <v>2228.5949999999998</v>
      </c>
      <c r="S17" s="29">
        <v>373.15</v>
      </c>
      <c r="T17" s="128">
        <f t="shared" si="7"/>
        <v>1008.26</v>
      </c>
      <c r="U17" s="157">
        <f t="shared" si="5"/>
        <v>98.37</v>
      </c>
      <c r="V17" s="129">
        <f t="shared" si="6"/>
        <v>1479.7799999999997</v>
      </c>
      <c r="X17" s="169"/>
    </row>
    <row r="18" spans="2:24" ht="21" x14ac:dyDescent="0.35">
      <c r="B18" s="102" t="s">
        <v>61</v>
      </c>
      <c r="C18" s="125" t="s">
        <v>43</v>
      </c>
      <c r="D18" s="102" t="s">
        <v>3</v>
      </c>
      <c r="E18" s="103">
        <v>4358.17</v>
      </c>
      <c r="F18" s="126">
        <v>15</v>
      </c>
      <c r="G18" s="178">
        <v>1211</v>
      </c>
      <c r="H18" s="103"/>
      <c r="I18" s="32"/>
      <c r="J18" s="103"/>
      <c r="K18" s="103">
        <f t="shared" si="1"/>
        <v>4358.17</v>
      </c>
      <c r="L18" s="103"/>
      <c r="M18" s="103"/>
      <c r="N18" s="103">
        <v>357.97</v>
      </c>
      <c r="O18" s="103">
        <v>0.01</v>
      </c>
      <c r="P18" s="156">
        <f t="shared" si="2"/>
        <v>501.19</v>
      </c>
      <c r="Q18" s="103">
        <f t="shared" si="3"/>
        <v>2070.17</v>
      </c>
      <c r="R18" s="229">
        <f t="shared" si="4"/>
        <v>2288</v>
      </c>
      <c r="S18" s="29">
        <v>337.59</v>
      </c>
      <c r="T18" s="128">
        <f t="shared" si="7"/>
        <v>893.43</v>
      </c>
      <c r="U18" s="157">
        <f t="shared" si="5"/>
        <v>87.16</v>
      </c>
      <c r="V18" s="129">
        <f t="shared" si="6"/>
        <v>1318.18</v>
      </c>
      <c r="X18" s="169"/>
    </row>
    <row r="19" spans="2:24" ht="21" x14ac:dyDescent="0.35">
      <c r="B19" s="102" t="s">
        <v>62</v>
      </c>
      <c r="C19" s="125" t="s">
        <v>42</v>
      </c>
      <c r="D19" s="102" t="s">
        <v>119</v>
      </c>
      <c r="E19" s="103">
        <v>4918.3649999999998</v>
      </c>
      <c r="F19" s="126">
        <v>15</v>
      </c>
      <c r="G19" s="178">
        <v>1213.4000000000001</v>
      </c>
      <c r="H19" s="130"/>
      <c r="I19" s="139"/>
      <c r="J19" s="103"/>
      <c r="K19" s="103">
        <f>E19-I19+H19</f>
        <v>4918.3649999999998</v>
      </c>
      <c r="L19" s="103"/>
      <c r="M19" s="103"/>
      <c r="N19" s="103">
        <v>447.61</v>
      </c>
      <c r="O19" s="103">
        <v>-0.05</v>
      </c>
      <c r="P19" s="156">
        <f t="shared" si="2"/>
        <v>565.61</v>
      </c>
      <c r="Q19" s="103">
        <f t="shared" si="3"/>
        <v>2226.5700000000002</v>
      </c>
      <c r="R19" s="229">
        <f t="shared" si="4"/>
        <v>2691.7949999999996</v>
      </c>
      <c r="S19" s="29">
        <v>373.15</v>
      </c>
      <c r="T19" s="128">
        <f t="shared" si="7"/>
        <v>1008.26</v>
      </c>
      <c r="U19" s="157">
        <f t="shared" si="5"/>
        <v>98.37</v>
      </c>
      <c r="V19" s="129">
        <f t="shared" si="6"/>
        <v>1479.7799999999997</v>
      </c>
      <c r="X19" s="169"/>
    </row>
    <row r="20" spans="2:24" ht="18.75" x14ac:dyDescent="0.3">
      <c r="B20" s="138" t="s">
        <v>20</v>
      </c>
      <c r="C20" s="194"/>
      <c r="D20" s="133"/>
      <c r="E20" s="135">
        <f>SUM(E12:E19)</f>
        <v>53558.664999999994</v>
      </c>
      <c r="F20" s="135"/>
      <c r="G20" s="135">
        <f>+G19+G18+G17+G16+G12+G13+G14</f>
        <v>13005.58</v>
      </c>
      <c r="H20" s="135"/>
      <c r="I20" s="135">
        <f t="shared" ref="I20:V20" si="8">SUM(I12:I19)</f>
        <v>0</v>
      </c>
      <c r="J20" s="135">
        <f t="shared" si="8"/>
        <v>0</v>
      </c>
      <c r="K20" s="135">
        <f>SUM(K12:K19)</f>
        <v>53558.664999999994</v>
      </c>
      <c r="L20" s="135">
        <f t="shared" ref="L20" si="9">SUM(L12:L19)</f>
        <v>0</v>
      </c>
      <c r="M20" s="135">
        <f>SUM(M12:M19)</f>
        <v>0</v>
      </c>
      <c r="N20" s="135">
        <f>SUM(N12:N19)</f>
        <v>6528.11</v>
      </c>
      <c r="O20" s="135">
        <f t="shared" si="8"/>
        <v>-5.000000000000001E-2</v>
      </c>
      <c r="P20" s="135">
        <f>SUM(P12:P19)</f>
        <v>6159.2399999999989</v>
      </c>
      <c r="Q20" s="135">
        <f t="shared" si="8"/>
        <v>25692.880000000005</v>
      </c>
      <c r="R20" s="135">
        <f>ROUND(SUM(R12:R19),1)</f>
        <v>27865.8</v>
      </c>
      <c r="S20" s="135">
        <f>SUM(S12:S19)</f>
        <v>3387.5750000000003</v>
      </c>
      <c r="T20" s="135">
        <f t="shared" si="8"/>
        <v>10979.51</v>
      </c>
      <c r="U20" s="135">
        <f>SUM(U12:U19)</f>
        <v>1071.19</v>
      </c>
      <c r="V20" s="135">
        <f t="shared" si="8"/>
        <v>15438.274999999998</v>
      </c>
      <c r="X20" s="169"/>
    </row>
    <row r="21" spans="2:24" ht="18.75" hidden="1" x14ac:dyDescent="0.3">
      <c r="B21" s="138"/>
      <c r="C21" s="136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37"/>
      <c r="X21" s="169"/>
    </row>
    <row r="22" spans="2:24" ht="18.75" x14ac:dyDescent="0.3">
      <c r="B22" s="138" t="s">
        <v>31</v>
      </c>
      <c r="C22" s="31" t="s">
        <v>83</v>
      </c>
      <c r="E22" s="103"/>
      <c r="F22" s="103"/>
      <c r="G22" s="103"/>
      <c r="H22" s="103"/>
      <c r="I22" s="103"/>
      <c r="J22" s="103"/>
      <c r="K22" s="142"/>
      <c r="L22" s="142"/>
      <c r="M22" s="103"/>
      <c r="N22" s="103"/>
      <c r="O22" s="103"/>
      <c r="P22" s="103"/>
      <c r="Q22" s="103"/>
      <c r="R22" s="137"/>
      <c r="X22" s="169"/>
    </row>
    <row r="23" spans="2:24" ht="21" x14ac:dyDescent="0.35">
      <c r="B23" s="102" t="s">
        <v>63</v>
      </c>
      <c r="C23" s="125" t="s">
        <v>110</v>
      </c>
      <c r="D23" s="158" t="s">
        <v>132</v>
      </c>
      <c r="E23" s="103">
        <v>7000.8</v>
      </c>
      <c r="F23" s="126">
        <v>15</v>
      </c>
      <c r="G23" s="103"/>
      <c r="H23" s="103"/>
      <c r="I23" s="103"/>
      <c r="J23" s="103"/>
      <c r="K23" s="103">
        <f>E23-I23</f>
        <v>7000.8</v>
      </c>
      <c r="L23" s="103">
        <v>0</v>
      </c>
      <c r="M23" s="103"/>
      <c r="N23" s="103">
        <v>857.15</v>
      </c>
      <c r="O23" s="103">
        <v>-0.04</v>
      </c>
      <c r="P23" s="156">
        <f>ROUND(E23*0.115,2)</f>
        <v>805.09</v>
      </c>
      <c r="Q23" s="103">
        <f t="shared" ref="Q23:Q24" si="10">SUM(N23:P23)+G23</f>
        <v>1662.2</v>
      </c>
      <c r="R23" s="229">
        <f>K23-Q23</f>
        <v>5338.6</v>
      </c>
      <c r="S23" s="170">
        <v>433.09500000000003</v>
      </c>
      <c r="T23" s="128">
        <f t="shared" ref="T23:T26" si="11">ROUND(+E23*17.5%,2)+ROUND(E23*3%,2)</f>
        <v>1435.16</v>
      </c>
      <c r="U23" s="157">
        <f t="shared" ref="U23:U26" si="12">ROUND(+E23*2%,2)</f>
        <v>140.02000000000001</v>
      </c>
      <c r="V23" s="129">
        <f t="shared" ref="V23:V24" si="13">SUM(S23:U23)</f>
        <v>2008.2750000000001</v>
      </c>
      <c r="X23" s="169"/>
    </row>
    <row r="24" spans="2:24" ht="21" x14ac:dyDescent="0.35">
      <c r="B24" s="102" t="s">
        <v>112</v>
      </c>
      <c r="C24" s="125" t="s">
        <v>113</v>
      </c>
      <c r="D24" s="158" t="s">
        <v>133</v>
      </c>
      <c r="E24" s="103">
        <v>7000.8</v>
      </c>
      <c r="F24" s="126">
        <v>15</v>
      </c>
      <c r="G24" s="103"/>
      <c r="H24" s="103"/>
      <c r="I24" s="139"/>
      <c r="J24" s="103"/>
      <c r="K24" s="103">
        <f>E24-I24</f>
        <v>7000.8</v>
      </c>
      <c r="L24" s="103">
        <v>0</v>
      </c>
      <c r="M24" s="103"/>
      <c r="N24" s="103">
        <v>857.15</v>
      </c>
      <c r="O24" s="103">
        <v>-0.04</v>
      </c>
      <c r="P24" s="156">
        <f>ROUND(E24*0.115,2)</f>
        <v>805.09</v>
      </c>
      <c r="Q24" s="103">
        <f t="shared" si="10"/>
        <v>1662.2</v>
      </c>
      <c r="R24" s="229">
        <f>K24-Q24</f>
        <v>5338.6</v>
      </c>
      <c r="S24" s="170">
        <v>433.09500000000003</v>
      </c>
      <c r="T24" s="128">
        <f t="shared" si="11"/>
        <v>1435.16</v>
      </c>
      <c r="U24" s="157">
        <f t="shared" si="12"/>
        <v>140.02000000000001</v>
      </c>
      <c r="V24" s="129">
        <f t="shared" si="13"/>
        <v>2008.2750000000001</v>
      </c>
      <c r="X24" s="169"/>
    </row>
    <row r="25" spans="2:24" ht="21" x14ac:dyDescent="0.35">
      <c r="B25" s="102" t="s">
        <v>64</v>
      </c>
      <c r="C25" s="125" t="s">
        <v>45</v>
      </c>
      <c r="D25" s="102" t="s">
        <v>122</v>
      </c>
      <c r="E25" s="103">
        <v>7000.8</v>
      </c>
      <c r="F25" s="126">
        <v>15</v>
      </c>
      <c r="G25" s="141"/>
      <c r="H25" s="103"/>
      <c r="I25" s="143"/>
      <c r="J25" s="103"/>
      <c r="K25" s="103">
        <f>E25-I25</f>
        <v>7000.8</v>
      </c>
      <c r="L25" s="103">
        <v>0</v>
      </c>
      <c r="M25" s="103"/>
      <c r="N25" s="103">
        <v>857.15</v>
      </c>
      <c r="O25" s="103">
        <v>-0.04</v>
      </c>
      <c r="P25" s="156">
        <f>ROUND(E25*0.115,2)</f>
        <v>805.09</v>
      </c>
      <c r="Q25" s="103">
        <f>SUM(N25:P25)+G25</f>
        <v>1662.2</v>
      </c>
      <c r="R25" s="229">
        <f>K25-Q25</f>
        <v>5338.6</v>
      </c>
      <c r="S25" s="170">
        <v>433.09500000000003</v>
      </c>
      <c r="T25" s="128">
        <f t="shared" si="11"/>
        <v>1435.16</v>
      </c>
      <c r="U25" s="157">
        <f t="shared" si="12"/>
        <v>140.02000000000001</v>
      </c>
      <c r="V25" s="129">
        <f>SUM(S25:U25)</f>
        <v>2008.2750000000001</v>
      </c>
      <c r="X25" s="169"/>
    </row>
    <row r="26" spans="2:24" ht="21" x14ac:dyDescent="0.35">
      <c r="B26" s="102" t="s">
        <v>65</v>
      </c>
      <c r="C26" s="125" t="s">
        <v>59</v>
      </c>
      <c r="D26" s="158" t="s">
        <v>134</v>
      </c>
      <c r="E26" s="103">
        <v>7000.8</v>
      </c>
      <c r="F26" s="126">
        <v>15</v>
      </c>
      <c r="G26" s="141"/>
      <c r="H26" s="130"/>
      <c r="I26" s="130"/>
      <c r="J26" s="103"/>
      <c r="K26" s="103">
        <f>E26-I26+H26</f>
        <v>7000.8</v>
      </c>
      <c r="L26" s="103">
        <v>0</v>
      </c>
      <c r="M26" s="103"/>
      <c r="N26" s="103">
        <v>857.15</v>
      </c>
      <c r="O26" s="103">
        <v>-0.04</v>
      </c>
      <c r="P26" s="156">
        <f>ROUND(E26*0.115,2)</f>
        <v>805.09</v>
      </c>
      <c r="Q26" s="103">
        <f>SUM(N26:P26)+G26</f>
        <v>1662.2</v>
      </c>
      <c r="R26" s="229">
        <f>K26-Q26</f>
        <v>5338.6</v>
      </c>
      <c r="S26" s="170">
        <v>433.09500000000003</v>
      </c>
      <c r="T26" s="128">
        <f t="shared" si="11"/>
        <v>1435.16</v>
      </c>
      <c r="U26" s="157">
        <f t="shared" si="12"/>
        <v>140.02000000000001</v>
      </c>
      <c r="V26" s="129">
        <f>SUM(S26:U26)</f>
        <v>2008.2750000000001</v>
      </c>
      <c r="X26" s="169"/>
    </row>
    <row r="27" spans="2:24" ht="18.75" x14ac:dyDescent="0.3">
      <c r="B27" s="138" t="s">
        <v>20</v>
      </c>
      <c r="C27" s="132"/>
      <c r="D27" s="133"/>
      <c r="E27" s="135">
        <f>SUM(E23:E26)</f>
        <v>28003.200000000001</v>
      </c>
      <c r="F27" s="135"/>
      <c r="G27" s="135">
        <f>+G26+G25+G23+G24</f>
        <v>0</v>
      </c>
      <c r="H27" s="135"/>
      <c r="I27" s="135">
        <f t="shared" ref="I27:J27" si="14">SUM(I23:I26)</f>
        <v>0</v>
      </c>
      <c r="J27" s="135">
        <f t="shared" si="14"/>
        <v>0</v>
      </c>
      <c r="K27" s="135">
        <f>SUM(K23:K26)</f>
        <v>28003.200000000001</v>
      </c>
      <c r="L27" s="135">
        <f t="shared" ref="L27" si="15">SUM(L23:L26)</f>
        <v>0</v>
      </c>
      <c r="M27" s="135">
        <f>SUM(M23:M26)</f>
        <v>0</v>
      </c>
      <c r="N27" s="135">
        <f>SUM(N23:N26)</f>
        <v>3428.6</v>
      </c>
      <c r="O27" s="135">
        <f t="shared" ref="O27:Q27" si="16">SUM(O23:O26)</f>
        <v>-0.16</v>
      </c>
      <c r="P27" s="135">
        <f>SUM(P23:P26)</f>
        <v>3220.36</v>
      </c>
      <c r="Q27" s="135">
        <f t="shared" si="16"/>
        <v>6648.8</v>
      </c>
      <c r="R27" s="135">
        <f>ROUND(SUM(R23:R26),1)</f>
        <v>21354.400000000001</v>
      </c>
      <c r="S27" s="135">
        <f>SUM(S23:S26)</f>
        <v>1732.38</v>
      </c>
      <c r="T27" s="135">
        <f>SUM(T23:T26)</f>
        <v>5740.64</v>
      </c>
      <c r="U27" s="135">
        <f>SUM(U23:U26)</f>
        <v>560.08000000000004</v>
      </c>
      <c r="V27" s="135">
        <f>SUM(V23:V26)</f>
        <v>8033.1</v>
      </c>
      <c r="X27" s="169"/>
    </row>
    <row r="28" spans="2:24" ht="18.75" hidden="1" x14ac:dyDescent="0.3">
      <c r="C28" s="136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37"/>
      <c r="X28" s="169"/>
    </row>
    <row r="29" spans="2:24" ht="18.75" x14ac:dyDescent="0.3">
      <c r="B29" s="138" t="s">
        <v>33</v>
      </c>
      <c r="C29" s="31" t="s">
        <v>32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37"/>
      <c r="X29" s="169"/>
    </row>
    <row r="30" spans="2:24" ht="21" x14ac:dyDescent="0.35">
      <c r="B30" s="102" t="s">
        <v>66</v>
      </c>
      <c r="C30" s="125" t="s">
        <v>49</v>
      </c>
      <c r="D30" s="158" t="s">
        <v>128</v>
      </c>
      <c r="E30" s="103">
        <v>7000.8</v>
      </c>
      <c r="F30" s="126">
        <v>15</v>
      </c>
      <c r="G30" s="103"/>
      <c r="H30" s="103"/>
      <c r="I30" s="144"/>
      <c r="J30" s="103"/>
      <c r="K30" s="103">
        <f t="shared" ref="K30:K43" si="17">E30-I30</f>
        <v>7000.8</v>
      </c>
      <c r="L30" s="103">
        <v>0</v>
      </c>
      <c r="M30" s="103"/>
      <c r="N30" s="103">
        <v>857.15</v>
      </c>
      <c r="O30" s="103">
        <v>0.16</v>
      </c>
      <c r="P30" s="156">
        <f>ROUND(E30*0.115,2)</f>
        <v>805.09</v>
      </c>
      <c r="Q30" s="103">
        <f t="shared" ref="Q30:Q40" si="18">SUM(N30:P30)+G30</f>
        <v>1662.4</v>
      </c>
      <c r="R30" s="229">
        <f t="shared" ref="R30:R43" si="19">K30-Q30</f>
        <v>5338.4</v>
      </c>
      <c r="S30" s="170">
        <v>433.09500000000003</v>
      </c>
      <c r="T30" s="128">
        <f t="shared" ref="T30:T40" si="20">ROUND(+E30*17.5%,2)+ROUND(E30*3%,2)</f>
        <v>1435.16</v>
      </c>
      <c r="U30" s="157">
        <f t="shared" ref="U30:U40" si="21">ROUND(+E30*2%,2)</f>
        <v>140.02000000000001</v>
      </c>
      <c r="V30" s="129">
        <f>SUM(S30:U30)</f>
        <v>2008.2750000000001</v>
      </c>
      <c r="X30" s="169"/>
    </row>
    <row r="31" spans="2:24" ht="21" x14ac:dyDescent="0.35">
      <c r="B31" s="102" t="s">
        <v>67</v>
      </c>
      <c r="C31" s="125" t="s">
        <v>51</v>
      </c>
      <c r="D31" s="158" t="s">
        <v>135</v>
      </c>
      <c r="E31" s="103">
        <v>7000.8</v>
      </c>
      <c r="F31" s="126">
        <v>15</v>
      </c>
      <c r="G31" s="178">
        <v>1556</v>
      </c>
      <c r="H31" s="103"/>
      <c r="I31" s="130"/>
      <c r="J31" s="141"/>
      <c r="K31" s="141">
        <f t="shared" si="17"/>
        <v>7000.8</v>
      </c>
      <c r="L31" s="141">
        <v>0</v>
      </c>
      <c r="M31" s="103"/>
      <c r="N31" s="103">
        <v>857.15</v>
      </c>
      <c r="O31" s="103">
        <v>0.16</v>
      </c>
      <c r="P31" s="156">
        <f t="shared" ref="P31:P40" si="22">ROUND(E31*0.115,2)</f>
        <v>805.09</v>
      </c>
      <c r="Q31" s="103">
        <f>SUM(N31:P31)+G31</f>
        <v>3218.4</v>
      </c>
      <c r="R31" s="229">
        <f t="shared" si="19"/>
        <v>3782.4</v>
      </c>
      <c r="S31" s="170">
        <v>433.09500000000003</v>
      </c>
      <c r="T31" s="128">
        <f t="shared" si="20"/>
        <v>1435.16</v>
      </c>
      <c r="U31" s="157">
        <f t="shared" si="21"/>
        <v>140.02000000000001</v>
      </c>
      <c r="V31" s="129">
        <f>SUM(S31:U31)</f>
        <v>2008.2750000000001</v>
      </c>
      <c r="X31" s="169"/>
    </row>
    <row r="32" spans="2:24" ht="21" x14ac:dyDescent="0.35">
      <c r="B32" s="102" t="s">
        <v>68</v>
      </c>
      <c r="C32" s="125" t="s">
        <v>48</v>
      </c>
      <c r="D32" s="102" t="s">
        <v>123</v>
      </c>
      <c r="E32" s="103">
        <v>7443.8</v>
      </c>
      <c r="F32" s="126">
        <v>15</v>
      </c>
      <c r="G32" s="103"/>
      <c r="H32" s="103"/>
      <c r="I32" s="130"/>
      <c r="J32" s="103"/>
      <c r="K32" s="103">
        <f t="shared" si="17"/>
        <v>7443.8</v>
      </c>
      <c r="L32" s="103">
        <v>0</v>
      </c>
      <c r="M32" s="103"/>
      <c r="N32" s="103">
        <v>951.78</v>
      </c>
      <c r="O32" s="103">
        <v>-0.02</v>
      </c>
      <c r="P32" s="156">
        <f t="shared" si="22"/>
        <v>856.04</v>
      </c>
      <c r="Q32" s="103">
        <f t="shared" si="18"/>
        <v>1807.8</v>
      </c>
      <c r="R32" s="229">
        <f t="shared" si="19"/>
        <v>5636</v>
      </c>
      <c r="S32" s="170">
        <v>446.71999999999991</v>
      </c>
      <c r="T32" s="128">
        <f t="shared" si="20"/>
        <v>1525.98</v>
      </c>
      <c r="U32" s="157">
        <f>ROUND(+E32*2%,2)</f>
        <v>148.88</v>
      </c>
      <c r="V32" s="129">
        <f t="shared" ref="V32:V40" si="23">SUM(S32:U32)</f>
        <v>2121.58</v>
      </c>
      <c r="X32" s="169"/>
    </row>
    <row r="33" spans="2:24" ht="21" x14ac:dyDescent="0.35">
      <c r="B33" s="102" t="s">
        <v>77</v>
      </c>
      <c r="C33" s="125" t="s">
        <v>111</v>
      </c>
      <c r="D33" s="102" t="s">
        <v>127</v>
      </c>
      <c r="E33" s="103">
        <v>7000.8</v>
      </c>
      <c r="F33" s="126">
        <v>15</v>
      </c>
      <c r="G33" s="178">
        <v>1167</v>
      </c>
      <c r="H33" s="103"/>
      <c r="I33" s="144"/>
      <c r="J33" s="103"/>
      <c r="K33" s="103">
        <f>E33-I33</f>
        <v>7000.8</v>
      </c>
      <c r="L33" s="103">
        <v>0</v>
      </c>
      <c r="M33" s="103"/>
      <c r="N33" s="103">
        <v>857.15</v>
      </c>
      <c r="O33" s="103">
        <v>-0.04</v>
      </c>
      <c r="P33" s="156">
        <f t="shared" si="22"/>
        <v>805.09</v>
      </c>
      <c r="Q33" s="103">
        <f>SUM(N33:P33)+G33</f>
        <v>2829.2</v>
      </c>
      <c r="R33" s="229">
        <f>K33-Q33</f>
        <v>4171.6000000000004</v>
      </c>
      <c r="S33" s="170">
        <v>433.09500000000003</v>
      </c>
      <c r="T33" s="128">
        <f t="shared" si="20"/>
        <v>1435.16</v>
      </c>
      <c r="U33" s="157">
        <f t="shared" si="21"/>
        <v>140.02000000000001</v>
      </c>
      <c r="V33" s="129">
        <f t="shared" si="23"/>
        <v>2008.2750000000001</v>
      </c>
      <c r="X33" s="169"/>
    </row>
    <row r="34" spans="2:24" ht="21" x14ac:dyDescent="0.35">
      <c r="B34" s="102" t="s">
        <v>70</v>
      </c>
      <c r="C34" s="125" t="s">
        <v>46</v>
      </c>
      <c r="D34" s="102" t="s">
        <v>124</v>
      </c>
      <c r="E34" s="103">
        <v>7000.8</v>
      </c>
      <c r="F34" s="126">
        <v>15</v>
      </c>
      <c r="G34" s="178">
        <v>1945</v>
      </c>
      <c r="H34" s="103"/>
      <c r="I34" s="139"/>
      <c r="J34" s="141"/>
      <c r="K34" s="141">
        <f t="shared" si="17"/>
        <v>7000.8</v>
      </c>
      <c r="L34" s="141">
        <v>0</v>
      </c>
      <c r="M34" s="103"/>
      <c r="N34" s="103">
        <v>857.15</v>
      </c>
      <c r="O34" s="103">
        <v>-0.04</v>
      </c>
      <c r="P34" s="156">
        <f t="shared" si="22"/>
        <v>805.09</v>
      </c>
      <c r="Q34" s="103">
        <f t="shared" si="18"/>
        <v>3607.2</v>
      </c>
      <c r="R34" s="229">
        <f t="shared" si="19"/>
        <v>3393.6000000000004</v>
      </c>
      <c r="S34" s="170">
        <v>433.09500000000003</v>
      </c>
      <c r="T34" s="128">
        <f t="shared" si="20"/>
        <v>1435.16</v>
      </c>
      <c r="U34" s="157">
        <f t="shared" si="21"/>
        <v>140.02000000000001</v>
      </c>
      <c r="V34" s="129">
        <f t="shared" si="23"/>
        <v>2008.2750000000001</v>
      </c>
      <c r="X34" s="169"/>
    </row>
    <row r="35" spans="2:24" ht="21" x14ac:dyDescent="0.35">
      <c r="B35" s="102" t="s">
        <v>71</v>
      </c>
      <c r="C35" s="125" t="s">
        <v>50</v>
      </c>
      <c r="D35" s="102" t="s">
        <v>124</v>
      </c>
      <c r="E35" s="103">
        <v>7000.8</v>
      </c>
      <c r="F35" s="126">
        <v>9</v>
      </c>
      <c r="G35" s="103"/>
      <c r="H35" s="141"/>
      <c r="I35" s="130">
        <v>2800.32</v>
      </c>
      <c r="J35" s="141"/>
      <c r="K35" s="141">
        <f t="shared" si="17"/>
        <v>4200.4799999999996</v>
      </c>
      <c r="L35" s="141">
        <v>0</v>
      </c>
      <c r="M35" s="103"/>
      <c r="N35" s="103">
        <v>857.15</v>
      </c>
      <c r="O35" s="103">
        <v>0.04</v>
      </c>
      <c r="P35" s="156">
        <f t="shared" si="22"/>
        <v>805.09</v>
      </c>
      <c r="Q35" s="103">
        <f t="shared" si="18"/>
        <v>1662.28</v>
      </c>
      <c r="R35" s="229">
        <f t="shared" si="19"/>
        <v>2538.1999999999998</v>
      </c>
      <c r="S35" s="170">
        <v>433.09500000000003</v>
      </c>
      <c r="T35" s="128">
        <f t="shared" si="20"/>
        <v>1435.16</v>
      </c>
      <c r="U35" s="157">
        <f t="shared" si="21"/>
        <v>140.02000000000001</v>
      </c>
      <c r="V35" s="129">
        <f t="shared" si="23"/>
        <v>2008.2750000000001</v>
      </c>
      <c r="X35" s="169"/>
    </row>
    <row r="36" spans="2:24" ht="21" x14ac:dyDescent="0.35">
      <c r="B36" s="102" t="s">
        <v>72</v>
      </c>
      <c r="C36" s="125" t="s">
        <v>52</v>
      </c>
      <c r="D36" s="102" t="s">
        <v>124</v>
      </c>
      <c r="E36" s="103">
        <v>7000.8</v>
      </c>
      <c r="F36" s="126">
        <v>15</v>
      </c>
      <c r="G36" s="103"/>
      <c r="H36" s="103"/>
      <c r="I36" s="139"/>
      <c r="J36" s="141"/>
      <c r="K36" s="141">
        <f t="shared" si="17"/>
        <v>7000.8</v>
      </c>
      <c r="L36" s="141">
        <v>0</v>
      </c>
      <c r="M36" s="103"/>
      <c r="N36" s="103">
        <v>857.15</v>
      </c>
      <c r="O36" s="103">
        <v>-0.04</v>
      </c>
      <c r="P36" s="156">
        <f t="shared" si="22"/>
        <v>805.09</v>
      </c>
      <c r="Q36" s="103">
        <f t="shared" si="18"/>
        <v>1662.2</v>
      </c>
      <c r="R36" s="229">
        <f t="shared" si="19"/>
        <v>5338.6</v>
      </c>
      <c r="S36" s="170">
        <v>433.09500000000003</v>
      </c>
      <c r="T36" s="128">
        <f t="shared" si="20"/>
        <v>1435.16</v>
      </c>
      <c r="U36" s="157">
        <f t="shared" si="21"/>
        <v>140.02000000000001</v>
      </c>
      <c r="V36" s="129">
        <f t="shared" si="23"/>
        <v>2008.2750000000001</v>
      </c>
      <c r="X36" s="169"/>
    </row>
    <row r="37" spans="2:24" s="162" customFormat="1" ht="21" x14ac:dyDescent="0.35">
      <c r="B37" s="7" t="s">
        <v>73</v>
      </c>
      <c r="C37" s="30" t="s">
        <v>47</v>
      </c>
      <c r="D37" s="7" t="s">
        <v>125</v>
      </c>
      <c r="E37" s="103">
        <v>7000.8</v>
      </c>
      <c r="F37" s="126">
        <v>15</v>
      </c>
      <c r="G37" s="103"/>
      <c r="H37" s="103"/>
      <c r="I37" s="139"/>
      <c r="J37" s="141"/>
      <c r="K37" s="141">
        <f t="shared" si="17"/>
        <v>7000.8</v>
      </c>
      <c r="L37" s="141">
        <v>0</v>
      </c>
      <c r="M37" s="103"/>
      <c r="N37" s="103">
        <v>857.15</v>
      </c>
      <c r="O37" s="103">
        <v>-0.04</v>
      </c>
      <c r="P37" s="156">
        <f t="shared" si="22"/>
        <v>805.09</v>
      </c>
      <c r="Q37" s="103">
        <f t="shared" si="18"/>
        <v>1662.2</v>
      </c>
      <c r="R37" s="229">
        <f t="shared" si="19"/>
        <v>5338.6</v>
      </c>
      <c r="S37" s="170">
        <v>433.09500000000003</v>
      </c>
      <c r="T37" s="128">
        <f t="shared" si="20"/>
        <v>1435.16</v>
      </c>
      <c r="U37" s="157">
        <f t="shared" si="21"/>
        <v>140.02000000000001</v>
      </c>
      <c r="V37" s="129">
        <f t="shared" si="23"/>
        <v>2008.2750000000001</v>
      </c>
      <c r="X37" s="128"/>
    </row>
    <row r="38" spans="2:24" ht="21" x14ac:dyDescent="0.35">
      <c r="B38" s="102" t="s">
        <v>74</v>
      </c>
      <c r="C38" s="125" t="s">
        <v>53</v>
      </c>
      <c r="D38" s="102" t="s">
        <v>125</v>
      </c>
      <c r="E38" s="103">
        <v>7000.8</v>
      </c>
      <c r="F38" s="126">
        <v>15</v>
      </c>
      <c r="G38" s="141"/>
      <c r="H38" s="103"/>
      <c r="I38" s="139"/>
      <c r="J38" s="103"/>
      <c r="K38" s="103">
        <f t="shared" si="17"/>
        <v>7000.8</v>
      </c>
      <c r="L38" s="103">
        <v>0</v>
      </c>
      <c r="M38" s="103"/>
      <c r="N38" s="103">
        <v>857.15</v>
      </c>
      <c r="O38" s="103">
        <v>-0.04</v>
      </c>
      <c r="P38" s="156">
        <f t="shared" si="22"/>
        <v>805.09</v>
      </c>
      <c r="Q38" s="103">
        <f>SUM(N38:P38)+G38</f>
        <v>1662.2</v>
      </c>
      <c r="R38" s="229">
        <f t="shared" si="19"/>
        <v>5338.6</v>
      </c>
      <c r="S38" s="170">
        <v>433.09500000000003</v>
      </c>
      <c r="T38" s="128">
        <f t="shared" si="20"/>
        <v>1435.16</v>
      </c>
      <c r="U38" s="157">
        <f t="shared" si="21"/>
        <v>140.02000000000001</v>
      </c>
      <c r="V38" s="129">
        <f t="shared" si="23"/>
        <v>2008.2750000000001</v>
      </c>
      <c r="X38" s="169"/>
    </row>
    <row r="39" spans="2:24" ht="21" x14ac:dyDescent="0.35">
      <c r="B39" s="102" t="s">
        <v>75</v>
      </c>
      <c r="C39" s="125" t="s">
        <v>39</v>
      </c>
      <c r="D39" s="102" t="s">
        <v>126</v>
      </c>
      <c r="E39" s="103">
        <v>7000.8</v>
      </c>
      <c r="F39" s="126">
        <v>15</v>
      </c>
      <c r="G39" s="141"/>
      <c r="H39" s="103"/>
      <c r="I39" s="144"/>
      <c r="J39" s="103"/>
      <c r="K39" s="103">
        <f t="shared" si="17"/>
        <v>7000.8</v>
      </c>
      <c r="L39" s="103">
        <v>0</v>
      </c>
      <c r="M39" s="103"/>
      <c r="N39" s="103">
        <v>857.15</v>
      </c>
      <c r="O39" s="103">
        <v>-0.04</v>
      </c>
      <c r="P39" s="156">
        <f t="shared" si="22"/>
        <v>805.09</v>
      </c>
      <c r="Q39" s="103">
        <f>SUM(N39:P39)+G39</f>
        <v>1662.2</v>
      </c>
      <c r="R39" s="229">
        <f t="shared" si="19"/>
        <v>5338.6</v>
      </c>
      <c r="S39" s="170">
        <v>433.09500000000003</v>
      </c>
      <c r="T39" s="128">
        <f t="shared" si="20"/>
        <v>1435.16</v>
      </c>
      <c r="U39" s="157">
        <f t="shared" si="21"/>
        <v>140.02000000000001</v>
      </c>
      <c r="V39" s="129">
        <f t="shared" si="23"/>
        <v>2008.2750000000001</v>
      </c>
      <c r="X39" s="169"/>
    </row>
    <row r="40" spans="2:24" ht="21" x14ac:dyDescent="0.35">
      <c r="B40" s="102" t="s">
        <v>76</v>
      </c>
      <c r="C40" s="125" t="s">
        <v>54</v>
      </c>
      <c r="D40" s="102" t="s">
        <v>126</v>
      </c>
      <c r="E40" s="103">
        <v>7000.8</v>
      </c>
      <c r="F40" s="126">
        <v>15</v>
      </c>
      <c r="G40" s="178">
        <v>1910</v>
      </c>
      <c r="H40" s="103"/>
      <c r="I40" s="144">
        <v>266.69</v>
      </c>
      <c r="J40" s="103"/>
      <c r="K40" s="103">
        <f t="shared" si="17"/>
        <v>6734.1100000000006</v>
      </c>
      <c r="L40" s="103">
        <v>0</v>
      </c>
      <c r="M40" s="103"/>
      <c r="N40" s="103">
        <v>857.15</v>
      </c>
      <c r="O40" s="103">
        <v>-0.13</v>
      </c>
      <c r="P40" s="156">
        <f t="shared" si="22"/>
        <v>805.09</v>
      </c>
      <c r="Q40" s="103">
        <f t="shared" si="18"/>
        <v>3572.11</v>
      </c>
      <c r="R40" s="229">
        <f t="shared" si="19"/>
        <v>3162.0000000000005</v>
      </c>
      <c r="S40" s="170">
        <v>433.09500000000003</v>
      </c>
      <c r="T40" s="128">
        <f t="shared" si="20"/>
        <v>1435.16</v>
      </c>
      <c r="U40" s="157">
        <f t="shared" si="21"/>
        <v>140.02000000000001</v>
      </c>
      <c r="V40" s="129">
        <f t="shared" si="23"/>
        <v>2008.2750000000001</v>
      </c>
      <c r="X40" s="169"/>
    </row>
    <row r="41" spans="2:24" ht="21" x14ac:dyDescent="0.35">
      <c r="B41" s="158" t="s">
        <v>150</v>
      </c>
      <c r="C41" s="30" t="s">
        <v>171</v>
      </c>
      <c r="D41" s="158" t="s">
        <v>109</v>
      </c>
      <c r="E41" s="103">
        <v>7000.8</v>
      </c>
      <c r="F41" s="126">
        <v>15</v>
      </c>
      <c r="G41" s="141"/>
      <c r="H41" s="103"/>
      <c r="I41" s="144"/>
      <c r="J41" s="103"/>
      <c r="K41" s="103">
        <f t="shared" si="17"/>
        <v>7000.8</v>
      </c>
      <c r="L41" s="103">
        <v>0</v>
      </c>
      <c r="M41" s="103"/>
      <c r="N41" s="103">
        <v>857.15</v>
      </c>
      <c r="O41" s="103">
        <v>0.05</v>
      </c>
      <c r="P41" s="141"/>
      <c r="Q41" s="103">
        <f t="shared" ref="Q41:Q43" si="24">SUM(N41:P41)+G41</f>
        <v>857.19999999999993</v>
      </c>
      <c r="R41" s="229">
        <f t="shared" si="19"/>
        <v>6143.6</v>
      </c>
      <c r="S41" s="170">
        <v>433.09500000000003</v>
      </c>
      <c r="T41" s="128"/>
      <c r="U41" s="157"/>
      <c r="V41" s="129">
        <f t="shared" ref="V41:V43" si="25">SUM(S41:U41)</f>
        <v>433.09500000000003</v>
      </c>
      <c r="X41" s="169"/>
    </row>
    <row r="42" spans="2:24" ht="21" x14ac:dyDescent="0.35">
      <c r="B42" s="158" t="s">
        <v>151</v>
      </c>
      <c r="C42" s="30" t="s">
        <v>172</v>
      </c>
      <c r="D42" s="158" t="s">
        <v>109</v>
      </c>
      <c r="E42" s="103">
        <v>7000.8</v>
      </c>
      <c r="F42" s="126">
        <v>15</v>
      </c>
      <c r="G42" s="141"/>
      <c r="H42" s="103"/>
      <c r="I42" s="144"/>
      <c r="J42" s="103"/>
      <c r="K42" s="103">
        <f t="shared" si="17"/>
        <v>7000.8</v>
      </c>
      <c r="L42" s="103">
        <v>0</v>
      </c>
      <c r="M42" s="103"/>
      <c r="N42" s="103">
        <v>857.15</v>
      </c>
      <c r="O42" s="103">
        <v>0.05</v>
      </c>
      <c r="P42" s="141"/>
      <c r="Q42" s="103">
        <f t="shared" si="24"/>
        <v>857.19999999999993</v>
      </c>
      <c r="R42" s="229">
        <f t="shared" si="19"/>
        <v>6143.6</v>
      </c>
      <c r="S42" s="170">
        <v>433.09500000000003</v>
      </c>
      <c r="T42" s="128"/>
      <c r="U42" s="157"/>
      <c r="V42" s="129">
        <f t="shared" si="25"/>
        <v>433.09500000000003</v>
      </c>
      <c r="X42" s="169"/>
    </row>
    <row r="43" spans="2:24" ht="21" x14ac:dyDescent="0.35">
      <c r="B43" s="158" t="s">
        <v>152</v>
      </c>
      <c r="C43" s="30" t="s">
        <v>173</v>
      </c>
      <c r="D43" s="158" t="s">
        <v>109</v>
      </c>
      <c r="E43" s="103">
        <v>7000.8</v>
      </c>
      <c r="F43" s="126">
        <v>15</v>
      </c>
      <c r="G43" s="141"/>
      <c r="H43" s="103"/>
      <c r="I43" s="144"/>
      <c r="J43" s="103"/>
      <c r="K43" s="103">
        <f t="shared" si="17"/>
        <v>7000.8</v>
      </c>
      <c r="L43" s="103">
        <v>0</v>
      </c>
      <c r="M43" s="103"/>
      <c r="N43" s="103">
        <v>857.15</v>
      </c>
      <c r="O43" s="103">
        <v>0.05</v>
      </c>
      <c r="P43" s="141"/>
      <c r="Q43" s="103">
        <f t="shared" si="24"/>
        <v>857.19999999999993</v>
      </c>
      <c r="R43" s="229">
        <f t="shared" si="19"/>
        <v>6143.6</v>
      </c>
      <c r="S43" s="170">
        <v>433.09500000000003</v>
      </c>
      <c r="T43" s="128"/>
      <c r="U43" s="157"/>
      <c r="V43" s="129">
        <f t="shared" si="25"/>
        <v>433.09500000000003</v>
      </c>
      <c r="X43" s="169"/>
    </row>
    <row r="44" spans="2:24" ht="18.75" x14ac:dyDescent="0.3">
      <c r="B44" s="138" t="s">
        <v>20</v>
      </c>
      <c r="C44" s="132"/>
      <c r="D44" s="133"/>
      <c r="E44" s="135">
        <f t="shared" ref="E44:Q44" si="26">SUM(E30:E43)</f>
        <v>98454.200000000026</v>
      </c>
      <c r="F44" s="135">
        <f t="shared" si="26"/>
        <v>204</v>
      </c>
      <c r="G44" s="135">
        <f t="shared" si="26"/>
        <v>6578</v>
      </c>
      <c r="H44" s="135">
        <f t="shared" si="26"/>
        <v>0</v>
      </c>
      <c r="I44" s="135">
        <f t="shared" si="26"/>
        <v>3067.01</v>
      </c>
      <c r="J44" s="135">
        <f t="shared" si="26"/>
        <v>0</v>
      </c>
      <c r="K44" s="135">
        <f t="shared" si="26"/>
        <v>95387.190000000017</v>
      </c>
      <c r="L44" s="135">
        <f t="shared" si="26"/>
        <v>0</v>
      </c>
      <c r="M44" s="135">
        <f t="shared" si="26"/>
        <v>0</v>
      </c>
      <c r="N44" s="135">
        <f t="shared" si="26"/>
        <v>12094.729999999998</v>
      </c>
      <c r="O44" s="135">
        <f t="shared" si="26"/>
        <v>0.11999999999999998</v>
      </c>
      <c r="P44" s="135">
        <f t="shared" si="26"/>
        <v>8906.94</v>
      </c>
      <c r="Q44" s="135">
        <f t="shared" si="26"/>
        <v>27579.790000000005</v>
      </c>
      <c r="R44" s="135">
        <f>ROUND(SUM(R30:R43),1)</f>
        <v>67807.399999999994</v>
      </c>
      <c r="S44" s="135">
        <f>SUM(S30:S43)</f>
        <v>6076.9550000000017</v>
      </c>
      <c r="T44" s="135">
        <f>SUM(T30:T43)</f>
        <v>15877.58</v>
      </c>
      <c r="U44" s="135">
        <f>SUM(U30:U43)</f>
        <v>1549.08</v>
      </c>
      <c r="V44" s="135">
        <f>SUM(V30:V43)</f>
        <v>23503.615000000005</v>
      </c>
      <c r="X44" s="169"/>
    </row>
    <row r="45" spans="2:24" ht="18.75" hidden="1" x14ac:dyDescent="0.3">
      <c r="C45" s="136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37"/>
      <c r="X45" s="169"/>
    </row>
    <row r="46" spans="2:24" ht="18.75" x14ac:dyDescent="0.3">
      <c r="B46" s="138" t="s">
        <v>78</v>
      </c>
      <c r="C46" s="31" t="s">
        <v>34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37"/>
      <c r="X46" s="169"/>
    </row>
    <row r="47" spans="2:24" ht="21" x14ac:dyDescent="0.35">
      <c r="B47" s="102" t="s">
        <v>69</v>
      </c>
      <c r="C47" s="125" t="s">
        <v>55</v>
      </c>
      <c r="D47" s="102" t="s">
        <v>130</v>
      </c>
      <c r="E47" s="103">
        <v>7443.8</v>
      </c>
      <c r="F47" s="126">
        <v>15</v>
      </c>
      <c r="G47" s="137"/>
      <c r="H47" s="103"/>
      <c r="I47" s="144"/>
      <c r="J47" s="141"/>
      <c r="K47" s="141">
        <f t="shared" ref="K47" si="27">E47-I47</f>
        <v>7443.8</v>
      </c>
      <c r="L47" s="141"/>
      <c r="M47" s="103"/>
      <c r="N47" s="103">
        <v>951.78</v>
      </c>
      <c r="O47" s="103">
        <v>-0.02</v>
      </c>
      <c r="P47" s="156">
        <f t="shared" ref="P47:P49" si="28">ROUND(E47*0.115,2)</f>
        <v>856.04</v>
      </c>
      <c r="Q47" s="103">
        <f t="shared" ref="Q47" si="29">SUM(N47:P47)+G47</f>
        <v>1807.8</v>
      </c>
      <c r="R47" s="229">
        <f t="shared" ref="R47" si="30">K47-Q47</f>
        <v>5636</v>
      </c>
      <c r="S47" s="170">
        <v>446.71999999999991</v>
      </c>
      <c r="T47" s="128">
        <f t="shared" ref="T47:T49" si="31">ROUND(+E47*17.5%,2)+ROUND(E47*3%,2)</f>
        <v>1525.98</v>
      </c>
      <c r="U47" s="157">
        <f t="shared" ref="U47:U49" si="32">ROUND(+E47*2%,2)</f>
        <v>148.88</v>
      </c>
      <c r="V47" s="129">
        <f t="shared" ref="V47:V52" si="33">SUM(S47:U47)</f>
        <v>2121.58</v>
      </c>
      <c r="X47" s="169"/>
    </row>
    <row r="48" spans="2:24" ht="21" x14ac:dyDescent="0.35">
      <c r="B48" s="102" t="s">
        <v>81</v>
      </c>
      <c r="C48" s="125" t="s">
        <v>44</v>
      </c>
      <c r="D48" s="102" t="s">
        <v>128</v>
      </c>
      <c r="E48" s="103">
        <v>7000.8</v>
      </c>
      <c r="F48" s="126">
        <v>15</v>
      </c>
      <c r="G48" s="178">
        <v>1171.28</v>
      </c>
      <c r="H48" s="103"/>
      <c r="I48" s="144"/>
      <c r="J48" s="103"/>
      <c r="K48" s="103">
        <f>E48-I48</f>
        <v>7000.8</v>
      </c>
      <c r="L48" s="103"/>
      <c r="M48" s="103"/>
      <c r="N48" s="103">
        <v>857.15</v>
      </c>
      <c r="O48" s="103">
        <v>0.08</v>
      </c>
      <c r="P48" s="156">
        <f t="shared" si="28"/>
        <v>805.09</v>
      </c>
      <c r="Q48" s="103">
        <f>SUM(N48:P48)+G48</f>
        <v>2833.6000000000004</v>
      </c>
      <c r="R48" s="229">
        <f>K48-Q48</f>
        <v>4167.2</v>
      </c>
      <c r="S48" s="170">
        <v>433.09500000000003</v>
      </c>
      <c r="T48" s="128">
        <f t="shared" si="31"/>
        <v>1435.16</v>
      </c>
      <c r="U48" s="157">
        <f t="shared" si="32"/>
        <v>140.02000000000001</v>
      </c>
      <c r="V48" s="129">
        <f t="shared" si="33"/>
        <v>2008.2750000000001</v>
      </c>
      <c r="X48" s="169"/>
    </row>
    <row r="49" spans="1:24" ht="21" x14ac:dyDescent="0.35">
      <c r="B49" s="102" t="s">
        <v>107</v>
      </c>
      <c r="C49" s="125" t="s">
        <v>108</v>
      </c>
      <c r="D49" s="102" t="s">
        <v>109</v>
      </c>
      <c r="E49" s="103">
        <v>7000.8</v>
      </c>
      <c r="F49" s="126">
        <v>14</v>
      </c>
      <c r="G49" s="103"/>
      <c r="H49" s="103"/>
      <c r="I49" s="144">
        <v>466.72</v>
      </c>
      <c r="J49" s="103"/>
      <c r="K49" s="103">
        <f>E49-I49</f>
        <v>6534.08</v>
      </c>
      <c r="L49" s="103"/>
      <c r="M49" s="103"/>
      <c r="N49" s="103">
        <v>857.15</v>
      </c>
      <c r="O49" s="103">
        <v>0.04</v>
      </c>
      <c r="P49" s="156">
        <f t="shared" si="28"/>
        <v>805.09</v>
      </c>
      <c r="Q49" s="103">
        <f>SUM(N49:P49)+G49</f>
        <v>1662.28</v>
      </c>
      <c r="R49" s="229">
        <f>K49-Q49</f>
        <v>4871.8</v>
      </c>
      <c r="S49" s="170">
        <v>433.09500000000003</v>
      </c>
      <c r="T49" s="128">
        <f t="shared" si="31"/>
        <v>1435.16</v>
      </c>
      <c r="U49" s="157">
        <f t="shared" si="32"/>
        <v>140.02000000000001</v>
      </c>
      <c r="V49" s="129">
        <f t="shared" si="33"/>
        <v>2008.2750000000001</v>
      </c>
      <c r="X49" s="169"/>
    </row>
    <row r="50" spans="1:24" ht="31.5" hidden="1" x14ac:dyDescent="0.35">
      <c r="A50" s="158" t="s">
        <v>179</v>
      </c>
      <c r="B50" s="218" t="s">
        <v>156</v>
      </c>
      <c r="C50" s="219" t="s">
        <v>167</v>
      </c>
      <c r="D50" s="220" t="s">
        <v>160</v>
      </c>
      <c r="E50" s="168"/>
      <c r="F50" s="221">
        <v>0</v>
      </c>
      <c r="G50" s="168"/>
      <c r="H50" s="168"/>
      <c r="I50" s="222"/>
      <c r="J50" s="168"/>
      <c r="K50" s="168">
        <f t="shared" ref="K50:K52" si="34">E50-I50</f>
        <v>0</v>
      </c>
      <c r="L50" s="168"/>
      <c r="M50" s="168"/>
      <c r="N50" s="168">
        <v>0</v>
      </c>
      <c r="O50" s="168"/>
      <c r="P50" s="168"/>
      <c r="Q50" s="168">
        <f t="shared" ref="Q50:Q52" si="35">SUM(N50:P50)+G50</f>
        <v>0</v>
      </c>
      <c r="R50" s="201">
        <f t="shared" ref="R50:R51" si="36">K50-Q50</f>
        <v>0</v>
      </c>
      <c r="S50" s="211">
        <v>0</v>
      </c>
      <c r="T50" s="223"/>
      <c r="U50" s="223"/>
      <c r="V50" s="224">
        <f t="shared" si="33"/>
        <v>0</v>
      </c>
      <c r="X50" s="169"/>
    </row>
    <row r="51" spans="1:24" ht="31.5" x14ac:dyDescent="0.35">
      <c r="B51" s="158" t="s">
        <v>157</v>
      </c>
      <c r="C51" s="30" t="s">
        <v>168</v>
      </c>
      <c r="D51" s="198" t="s">
        <v>160</v>
      </c>
      <c r="E51" s="103">
        <v>6791.5</v>
      </c>
      <c r="F51" s="126">
        <v>15</v>
      </c>
      <c r="G51" s="141"/>
      <c r="H51" s="103"/>
      <c r="I51" s="144"/>
      <c r="J51" s="103"/>
      <c r="K51" s="103">
        <f t="shared" si="34"/>
        <v>6791.5</v>
      </c>
      <c r="L51" s="103"/>
      <c r="M51" s="103"/>
      <c r="N51" s="103">
        <v>812.45</v>
      </c>
      <c r="O51" s="103">
        <v>-0.15</v>
      </c>
      <c r="P51" s="156"/>
      <c r="Q51" s="103">
        <f t="shared" si="35"/>
        <v>812.30000000000007</v>
      </c>
      <c r="R51" s="229">
        <f t="shared" si="36"/>
        <v>5979.2</v>
      </c>
      <c r="S51" s="170">
        <v>426.65999999999997</v>
      </c>
      <c r="T51" s="128"/>
      <c r="U51" s="157"/>
      <c r="V51" s="129">
        <f t="shared" si="33"/>
        <v>426.65999999999997</v>
      </c>
      <c r="X51" s="169"/>
    </row>
    <row r="52" spans="1:24" ht="31.5" x14ac:dyDescent="0.35">
      <c r="B52" s="158" t="s">
        <v>158</v>
      </c>
      <c r="C52" s="30" t="s">
        <v>169</v>
      </c>
      <c r="D52" s="198" t="s">
        <v>160</v>
      </c>
      <c r="E52" s="103">
        <v>6791.5</v>
      </c>
      <c r="F52" s="126">
        <v>15</v>
      </c>
      <c r="G52" s="103"/>
      <c r="H52" s="103"/>
      <c r="I52" s="103"/>
      <c r="J52" s="103"/>
      <c r="K52" s="103">
        <f t="shared" si="34"/>
        <v>6791.5</v>
      </c>
      <c r="L52" s="103"/>
      <c r="M52" s="103"/>
      <c r="N52" s="103">
        <v>812.45</v>
      </c>
      <c r="O52" s="103">
        <v>-0.15</v>
      </c>
      <c r="P52" s="156"/>
      <c r="Q52" s="103">
        <f t="shared" si="35"/>
        <v>812.30000000000007</v>
      </c>
      <c r="R52" s="229">
        <f>K52-Q52</f>
        <v>5979.2</v>
      </c>
      <c r="S52" s="170">
        <v>426.65999999999997</v>
      </c>
      <c r="T52" s="128"/>
      <c r="U52" s="157"/>
      <c r="V52" s="129">
        <f t="shared" si="33"/>
        <v>426.65999999999997</v>
      </c>
      <c r="X52" s="169"/>
    </row>
    <row r="53" spans="1:24" ht="18.75" x14ac:dyDescent="0.3">
      <c r="B53" s="138" t="s">
        <v>20</v>
      </c>
      <c r="C53" s="132"/>
      <c r="D53" s="133"/>
      <c r="E53" s="135">
        <f>SUM(E47:E52)</f>
        <v>35028.400000000001</v>
      </c>
      <c r="F53" s="135"/>
      <c r="G53" s="135">
        <f t="shared" ref="G53:Q53" si="37">SUM(G47:G52)</f>
        <v>1171.28</v>
      </c>
      <c r="H53" s="135">
        <f t="shared" si="37"/>
        <v>0</v>
      </c>
      <c r="I53" s="135">
        <f t="shared" si="37"/>
        <v>466.72</v>
      </c>
      <c r="J53" s="135">
        <f t="shared" si="37"/>
        <v>0</v>
      </c>
      <c r="K53" s="135">
        <f t="shared" si="37"/>
        <v>34561.68</v>
      </c>
      <c r="L53" s="135">
        <f t="shared" si="37"/>
        <v>0</v>
      </c>
      <c r="M53" s="135">
        <f t="shared" si="37"/>
        <v>0</v>
      </c>
      <c r="N53" s="135">
        <f t="shared" si="37"/>
        <v>4290.9799999999996</v>
      </c>
      <c r="O53" s="135">
        <f t="shared" si="37"/>
        <v>-0.19999999999999998</v>
      </c>
      <c r="P53" s="135">
        <f t="shared" si="37"/>
        <v>2466.2200000000003</v>
      </c>
      <c r="Q53" s="135">
        <f t="shared" si="37"/>
        <v>7928.2800000000007</v>
      </c>
      <c r="R53" s="135">
        <f>ROUND(SUM(R47:R52),1)</f>
        <v>26633.4</v>
      </c>
      <c r="S53" s="135">
        <f>SUM(S47:S52)</f>
        <v>2166.2299999999996</v>
      </c>
      <c r="T53" s="135">
        <f>SUM(T47:T52)</f>
        <v>4396.3</v>
      </c>
      <c r="U53" s="135">
        <f>SUM(U47:U52)</f>
        <v>428.91999999999996</v>
      </c>
      <c r="V53" s="135">
        <f>SUM(V47:V52)</f>
        <v>6991.4499999999989</v>
      </c>
      <c r="X53" s="169"/>
    </row>
    <row r="54" spans="1:24" ht="18.75" hidden="1" x14ac:dyDescent="0.3">
      <c r="B54" s="138"/>
      <c r="C54" s="136"/>
      <c r="E54" s="103"/>
      <c r="F54" s="103"/>
      <c r="G54" s="103"/>
      <c r="H54" s="103"/>
      <c r="I54" s="103"/>
      <c r="J54" s="103"/>
      <c r="K54" s="146"/>
      <c r="L54" s="146"/>
      <c r="M54" s="146"/>
      <c r="N54" s="146"/>
      <c r="O54" s="146"/>
      <c r="P54" s="146"/>
      <c r="Q54" s="146"/>
      <c r="R54" s="147"/>
      <c r="S54" s="148"/>
      <c r="T54" s="148"/>
      <c r="U54" s="148"/>
      <c r="V54" s="148"/>
      <c r="X54" s="169"/>
    </row>
    <row r="55" spans="1:24" ht="18.75" x14ac:dyDescent="0.3">
      <c r="B55" s="138" t="s">
        <v>84</v>
      </c>
      <c r="C55" s="31" t="s">
        <v>85</v>
      </c>
      <c r="E55" s="103"/>
      <c r="F55" s="103"/>
      <c r="G55" s="103"/>
      <c r="H55" s="103"/>
      <c r="I55" s="103"/>
      <c r="J55" s="103"/>
      <c r="K55" s="146"/>
      <c r="L55" s="146"/>
      <c r="M55" s="146"/>
      <c r="N55" s="146"/>
      <c r="O55" s="146"/>
      <c r="P55" s="146"/>
      <c r="Q55" s="146"/>
      <c r="R55" s="147"/>
      <c r="S55" s="148"/>
      <c r="T55" s="148"/>
      <c r="U55" s="148"/>
      <c r="V55" s="148"/>
      <c r="X55" s="169"/>
    </row>
    <row r="56" spans="1:24" ht="21" x14ac:dyDescent="0.35">
      <c r="B56" s="102" t="s">
        <v>86</v>
      </c>
      <c r="C56" s="125" t="s">
        <v>30</v>
      </c>
      <c r="D56" s="102" t="s">
        <v>114</v>
      </c>
      <c r="E56" s="103">
        <v>13000</v>
      </c>
      <c r="F56" s="126">
        <v>15</v>
      </c>
      <c r="G56" s="178">
        <v>6241.05</v>
      </c>
      <c r="H56" s="103"/>
      <c r="I56" s="103"/>
      <c r="J56" s="103"/>
      <c r="K56" s="103">
        <f>E56-I56</f>
        <v>13000</v>
      </c>
      <c r="L56" s="103">
        <v>0</v>
      </c>
      <c r="M56" s="103"/>
      <c r="N56" s="103">
        <v>2161.23</v>
      </c>
      <c r="O56" s="103">
        <v>-0.08</v>
      </c>
      <c r="P56" s="156">
        <f>ROUND(E56*0.115,2)</f>
        <v>1495</v>
      </c>
      <c r="Q56" s="103">
        <f>SUM(N56:P56)+G56</f>
        <v>9897.2000000000007</v>
      </c>
      <c r="R56" s="229">
        <f>K56-Q56</f>
        <v>3102.7999999999993</v>
      </c>
      <c r="S56" s="29">
        <v>617.625</v>
      </c>
      <c r="T56" s="128">
        <f t="shared" ref="T56" si="38">ROUND(+E56*17.5%,2)+ROUND(E56*3%,2)</f>
        <v>2665</v>
      </c>
      <c r="U56" s="157">
        <f>ROUND(+E56*2%,2)</f>
        <v>260</v>
      </c>
      <c r="V56" s="129">
        <f t="shared" ref="V56" si="39">SUM(S56:U56)</f>
        <v>3542.625</v>
      </c>
      <c r="X56" s="169"/>
    </row>
    <row r="57" spans="1:24" ht="18.75" x14ac:dyDescent="0.3">
      <c r="B57" s="138" t="s">
        <v>20</v>
      </c>
      <c r="E57" s="135">
        <f>E56</f>
        <v>13000</v>
      </c>
      <c r="F57" s="135"/>
      <c r="G57" s="135">
        <f>+G56</f>
        <v>6241.05</v>
      </c>
      <c r="H57" s="135"/>
      <c r="I57" s="135">
        <f>I56</f>
        <v>0</v>
      </c>
      <c r="J57" s="135">
        <f>J56</f>
        <v>0</v>
      </c>
      <c r="K57" s="135">
        <f>K56</f>
        <v>13000</v>
      </c>
      <c r="L57" s="135">
        <f t="shared" ref="L57:V57" si="40">L56</f>
        <v>0</v>
      </c>
      <c r="M57" s="135">
        <f t="shared" si="40"/>
        <v>0</v>
      </c>
      <c r="N57" s="135">
        <f>N56</f>
        <v>2161.23</v>
      </c>
      <c r="O57" s="135">
        <f t="shared" si="40"/>
        <v>-0.08</v>
      </c>
      <c r="P57" s="135">
        <f>P56</f>
        <v>1495</v>
      </c>
      <c r="Q57" s="135">
        <f t="shared" si="40"/>
        <v>9897.2000000000007</v>
      </c>
      <c r="R57" s="135">
        <f>ROUND(R56,1)</f>
        <v>3102.8</v>
      </c>
      <c r="S57" s="135">
        <f>S56</f>
        <v>617.625</v>
      </c>
      <c r="T57" s="135">
        <f t="shared" si="40"/>
        <v>2665</v>
      </c>
      <c r="U57" s="135">
        <f>U56</f>
        <v>260</v>
      </c>
      <c r="V57" s="135">
        <f t="shared" si="40"/>
        <v>3542.625</v>
      </c>
      <c r="X57" s="169"/>
    </row>
    <row r="58" spans="1:24" ht="12" customHeight="1" x14ac:dyDescent="0.3">
      <c r="B58" s="138"/>
      <c r="E58" s="103"/>
      <c r="F58" s="103"/>
      <c r="G58" s="103"/>
      <c r="H58" s="103"/>
      <c r="I58" s="103"/>
      <c r="J58" s="103"/>
      <c r="K58" s="146"/>
      <c r="L58" s="146"/>
      <c r="M58" s="146"/>
      <c r="N58" s="146"/>
      <c r="O58" s="146"/>
      <c r="P58" s="146"/>
      <c r="Q58" s="146"/>
      <c r="R58" s="147"/>
      <c r="S58" s="148"/>
      <c r="T58" s="148"/>
      <c r="U58" s="148"/>
      <c r="V58" s="148"/>
    </row>
    <row r="59" spans="1:24" ht="18.75" hidden="1" x14ac:dyDescent="0.3">
      <c r="R59" s="149"/>
    </row>
    <row r="60" spans="1:24" ht="18.75" x14ac:dyDescent="0.3">
      <c r="C60" s="150" t="s">
        <v>56</v>
      </c>
      <c r="E60" s="151">
        <f>E9+E20+E27+E44+E53+E57</f>
        <v>253753.16</v>
      </c>
      <c r="F60" s="151"/>
      <c r="G60" s="152">
        <f>G9+G20+G27+G44+G53+G57</f>
        <v>27995.91</v>
      </c>
      <c r="H60" s="151"/>
      <c r="I60" s="151">
        <f t="shared" ref="I60:Q60" si="41">I9+I20+I27+I44+I53+I57</f>
        <v>3533.7300000000005</v>
      </c>
      <c r="J60" s="151">
        <f t="shared" si="41"/>
        <v>0</v>
      </c>
      <c r="K60" s="151">
        <f t="shared" si="41"/>
        <v>250219.43</v>
      </c>
      <c r="L60" s="151">
        <f t="shared" si="41"/>
        <v>0</v>
      </c>
      <c r="M60" s="151">
        <f t="shared" si="41"/>
        <v>0</v>
      </c>
      <c r="N60" s="151">
        <f t="shared" si="41"/>
        <v>32921.21</v>
      </c>
      <c r="O60" s="151">
        <f t="shared" si="41"/>
        <v>-0.33</v>
      </c>
      <c r="P60" s="152">
        <f t="shared" si="41"/>
        <v>25204.260000000002</v>
      </c>
      <c r="Q60" s="151">
        <f t="shared" si="41"/>
        <v>86121.05</v>
      </c>
      <c r="R60" s="153">
        <f>ROUND(+R9+R20+R27+R44+R53+R57,1)</f>
        <v>164098.4</v>
      </c>
      <c r="S60" s="151">
        <f>S9+S20+S27+S44+S53+S57</f>
        <v>15207.045000000002</v>
      </c>
      <c r="T60" s="151">
        <f>T57+T53+T44+T27+T20+T9</f>
        <v>44929.312474999999</v>
      </c>
      <c r="U60" s="152">
        <f>U9+U20+U27+U44+U53+U57</f>
        <v>4383.45</v>
      </c>
      <c r="V60" s="154">
        <f>V9+V20+V27+V44+V53+V57</f>
        <v>64519.807475000001</v>
      </c>
    </row>
    <row r="61" spans="1:24" ht="18.75" x14ac:dyDescent="0.3">
      <c r="S61" s="151"/>
      <c r="T61" s="151"/>
    </row>
    <row r="62" spans="1:24" x14ac:dyDescent="0.25">
      <c r="T62" s="103"/>
      <c r="X62" s="169"/>
    </row>
    <row r="64" spans="1:24" x14ac:dyDescent="0.25">
      <c r="I64" s="169"/>
    </row>
    <row r="69" spans="3:20" ht="16.5" thickBot="1" x14ac:dyDescent="0.3">
      <c r="E69" s="293"/>
      <c r="F69" s="293"/>
      <c r="G69" s="227"/>
      <c r="H69" s="227"/>
      <c r="P69" s="294"/>
      <c r="Q69" s="294"/>
    </row>
    <row r="70" spans="3:20" ht="15" x14ac:dyDescent="0.25">
      <c r="E70" s="295" t="s">
        <v>91</v>
      </c>
      <c r="F70" s="295"/>
      <c r="G70" s="228"/>
      <c r="H70" s="228"/>
      <c r="P70" s="155"/>
      <c r="Q70" s="155"/>
      <c r="R70" s="296" t="s">
        <v>82</v>
      </c>
      <c r="S70" s="296"/>
      <c r="T70" s="227"/>
    </row>
    <row r="74" spans="3:20" x14ac:dyDescent="0.25">
      <c r="C74" s="102" t="s">
        <v>90</v>
      </c>
    </row>
  </sheetData>
  <mergeCells count="5">
    <mergeCell ref="B4:V4"/>
    <mergeCell ref="E69:F69"/>
    <mergeCell ref="P69:Q69"/>
    <mergeCell ref="E70:F70"/>
    <mergeCell ref="R70:S70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F02E-4A8B-4F2D-9309-7111AFF7D4DA}">
  <sheetPr>
    <pageSetUpPr fitToPage="1"/>
  </sheetPr>
  <dimension ref="A3:X74"/>
  <sheetViews>
    <sheetView topLeftCell="A47" zoomScale="85" zoomScaleNormal="85" workbookViewId="0">
      <selection activeCell="T56" sqref="T56:U56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5.85546875" style="102" bestFit="1" customWidth="1"/>
    <col min="8" max="8" width="14.140625" style="102" hidden="1" customWidth="1"/>
    <col min="9" max="9" width="13.28515625" style="102" customWidth="1"/>
    <col min="10" max="10" width="13.28515625" style="102" hidden="1" customWidth="1"/>
    <col min="11" max="11" width="15.85546875" style="102" bestFit="1" customWidth="1"/>
    <col min="12" max="12" width="9.42578125" style="102" hidden="1" customWidth="1"/>
    <col min="13" max="13" width="14.42578125" style="102" hidden="1" customWidth="1"/>
    <col min="14" max="14" width="15.85546875" style="102" bestFit="1" customWidth="1"/>
    <col min="15" max="15" width="11.140625" style="102" bestFit="1" customWidth="1"/>
    <col min="16" max="16" width="14.42578125" style="102" bestFit="1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4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4" ht="16.5" customHeight="1" x14ac:dyDescent="0.25">
      <c r="B4" s="291" t="s">
        <v>182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4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2" t="s">
        <v>148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4" x14ac:dyDescent="0.25">
      <c r="B6" s="121" t="s">
        <v>13</v>
      </c>
      <c r="C6" s="5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4" ht="21" x14ac:dyDescent="0.35">
      <c r="B7" s="102" t="s">
        <v>15</v>
      </c>
      <c r="C7" s="125" t="s">
        <v>16</v>
      </c>
      <c r="D7" s="102" t="s">
        <v>19</v>
      </c>
      <c r="E7" s="103">
        <v>19461.365000000002</v>
      </c>
      <c r="F7" s="126">
        <v>15</v>
      </c>
      <c r="G7" s="141"/>
      <c r="H7" s="103"/>
      <c r="I7" s="103"/>
      <c r="J7" s="103"/>
      <c r="K7" s="103">
        <f>E7-I7</f>
        <v>19461.365000000002</v>
      </c>
      <c r="L7" s="103">
        <v>0</v>
      </c>
      <c r="M7" s="103"/>
      <c r="N7" s="103">
        <v>3721.35</v>
      </c>
      <c r="O7" s="103">
        <v>-0.04</v>
      </c>
      <c r="P7" s="156">
        <f>ROUND(E7*0.115,2)</f>
        <v>2238.06</v>
      </c>
      <c r="Q7" s="103">
        <f>SUM(N7:P7)+G7</f>
        <v>5959.37</v>
      </c>
      <c r="R7" s="190">
        <f>K7-Q7</f>
        <v>13501.995000000003</v>
      </c>
      <c r="S7" s="29">
        <v>816.3599999999999</v>
      </c>
      <c r="T7" s="128">
        <f>+E7*17.5%+E7*3%</f>
        <v>3989.5798249999998</v>
      </c>
      <c r="U7" s="157">
        <f>ROUND(+E7*2%,2)</f>
        <v>389.23</v>
      </c>
      <c r="V7" s="129">
        <f>SUM(S7:U7)</f>
        <v>5195.169824999999</v>
      </c>
      <c r="X7" s="169"/>
    </row>
    <row r="8" spans="2:24" ht="21" x14ac:dyDescent="0.35">
      <c r="B8" s="102" t="s">
        <v>17</v>
      </c>
      <c r="C8" s="125" t="s">
        <v>18</v>
      </c>
      <c r="D8" s="102" t="s">
        <v>2</v>
      </c>
      <c r="E8" s="103">
        <v>6247.33</v>
      </c>
      <c r="F8" s="126">
        <v>15</v>
      </c>
      <c r="G8" s="127">
        <v>1000</v>
      </c>
      <c r="H8" s="103"/>
      <c r="I8" s="130"/>
      <c r="J8" s="103"/>
      <c r="K8" s="103">
        <f>E8-I8</f>
        <v>6247.33</v>
      </c>
      <c r="L8" s="103">
        <v>0</v>
      </c>
      <c r="M8" s="103"/>
      <c r="N8" s="103">
        <v>696.21</v>
      </c>
      <c r="O8" s="103">
        <v>0.08</v>
      </c>
      <c r="P8" s="156">
        <f>ROUND(E8*0.115,2)</f>
        <v>718.44</v>
      </c>
      <c r="Q8" s="103">
        <f>SUM(N8:P8)+G8</f>
        <v>2414.73</v>
      </c>
      <c r="R8" s="190">
        <f>K8-Q8</f>
        <v>3832.6</v>
      </c>
      <c r="S8" s="29">
        <v>409.92</v>
      </c>
      <c r="T8" s="128">
        <f>+E8*17.5%+E8*3%</f>
        <v>1280.7026499999997</v>
      </c>
      <c r="U8" s="157">
        <f>ROUND(+E8*2%,2)</f>
        <v>124.95</v>
      </c>
      <c r="V8" s="129">
        <f>SUM(S8:U8)</f>
        <v>1815.5726499999998</v>
      </c>
      <c r="X8" s="169"/>
    </row>
    <row r="9" spans="2:24" ht="18.75" x14ac:dyDescent="0.3">
      <c r="B9" s="131" t="s">
        <v>20</v>
      </c>
      <c r="C9" s="132"/>
      <c r="D9" s="133"/>
      <c r="E9" s="135">
        <f>SUM(E7:E8)</f>
        <v>25708.695</v>
      </c>
      <c r="F9" s="135"/>
      <c r="G9" s="135">
        <f>+G8+G7</f>
        <v>1000</v>
      </c>
      <c r="H9" s="135"/>
      <c r="I9" s="135">
        <f t="shared" ref="I9:V9" si="0">SUM(I7:I8)</f>
        <v>0</v>
      </c>
      <c r="J9" s="135">
        <f t="shared" si="0"/>
        <v>0</v>
      </c>
      <c r="K9" s="135">
        <f>SUM(K7:K8)</f>
        <v>25708.695</v>
      </c>
      <c r="L9" s="135">
        <f t="shared" si="0"/>
        <v>0</v>
      </c>
      <c r="M9" s="135">
        <f>SUM(M7:M8)</f>
        <v>0</v>
      </c>
      <c r="N9" s="135">
        <f>SUM(N7:N8)</f>
        <v>4417.5599999999995</v>
      </c>
      <c r="O9" s="135">
        <f t="shared" si="0"/>
        <v>0.04</v>
      </c>
      <c r="P9" s="135">
        <f>SUM(P7:P8)</f>
        <v>2956.5</v>
      </c>
      <c r="Q9" s="135">
        <f t="shared" si="0"/>
        <v>8374.1</v>
      </c>
      <c r="R9" s="135">
        <f>ROUND(SUM(R7:R8),1)</f>
        <v>17334.599999999999</v>
      </c>
      <c r="S9" s="135">
        <f>SUM(S7:S8)</f>
        <v>1226.28</v>
      </c>
      <c r="T9" s="135">
        <f t="shared" si="0"/>
        <v>5270.282475</v>
      </c>
      <c r="U9" s="135">
        <f>SUM(U7:U8)</f>
        <v>514.18000000000006</v>
      </c>
      <c r="V9" s="135">
        <f t="shared" si="0"/>
        <v>7010.7424749999991</v>
      </c>
      <c r="X9" s="169"/>
    </row>
    <row r="10" spans="2:24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4" ht="18.75" x14ac:dyDescent="0.3">
      <c r="B11" s="138" t="s">
        <v>21</v>
      </c>
      <c r="C11" s="31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4" ht="21" x14ac:dyDescent="0.35">
      <c r="B12" s="102" t="s">
        <v>23</v>
      </c>
      <c r="C12" s="125" t="s">
        <v>28</v>
      </c>
      <c r="D12" s="102" t="s">
        <v>114</v>
      </c>
      <c r="E12" s="103">
        <v>13000</v>
      </c>
      <c r="F12" s="126">
        <v>15</v>
      </c>
      <c r="G12" s="127">
        <v>0</v>
      </c>
      <c r="H12" s="103"/>
      <c r="I12" s="103"/>
      <c r="J12" s="103"/>
      <c r="K12" s="103">
        <f t="shared" ref="K12:K18" si="1">E12-I12</f>
        <v>13000</v>
      </c>
      <c r="L12" s="103">
        <v>0</v>
      </c>
      <c r="M12" s="103"/>
      <c r="N12" s="103">
        <v>2161.23</v>
      </c>
      <c r="O12" s="103">
        <v>-0.03</v>
      </c>
      <c r="P12" s="156">
        <f t="shared" ref="P12:P19" si="2">ROUND(E12*0.115,2)</f>
        <v>1495</v>
      </c>
      <c r="Q12" s="103">
        <f t="shared" ref="Q12:Q19" si="3">SUM(N12:P12)+G12</f>
        <v>3656.2</v>
      </c>
      <c r="R12" s="190">
        <f t="shared" ref="R12:R19" si="4">K12-Q12</f>
        <v>9343.7999999999993</v>
      </c>
      <c r="S12" s="29">
        <v>617.625</v>
      </c>
      <c r="T12" s="128">
        <f>ROUND(+E12*17.5%,2)+ROUND(E12*3%,2)</f>
        <v>2665</v>
      </c>
      <c r="U12" s="157">
        <f t="shared" ref="U12:U19" si="5">ROUND(+E12*2%,2)</f>
        <v>260</v>
      </c>
      <c r="V12" s="129">
        <f t="shared" ref="V12:V19" si="6">SUM(S12:U12)</f>
        <v>3542.625</v>
      </c>
      <c r="X12" s="169"/>
    </row>
    <row r="13" spans="2:24" ht="21" x14ac:dyDescent="0.35">
      <c r="B13" s="102" t="s">
        <v>24</v>
      </c>
      <c r="C13" s="125" t="s">
        <v>29</v>
      </c>
      <c r="D13" s="102" t="s">
        <v>116</v>
      </c>
      <c r="E13" s="103">
        <v>7000.8</v>
      </c>
      <c r="F13" s="126">
        <v>15</v>
      </c>
      <c r="G13" s="127">
        <v>2129.5700000000002</v>
      </c>
      <c r="H13" s="103"/>
      <c r="I13" s="139"/>
      <c r="J13" s="140"/>
      <c r="K13" s="103">
        <f>E13-I13</f>
        <v>7000.8</v>
      </c>
      <c r="L13" s="103">
        <v>0</v>
      </c>
      <c r="M13" s="103"/>
      <c r="N13" s="103">
        <v>857.15</v>
      </c>
      <c r="O13" s="103">
        <v>-0.01</v>
      </c>
      <c r="P13" s="156">
        <f t="shared" si="2"/>
        <v>805.09</v>
      </c>
      <c r="Q13" s="103">
        <f t="shared" si="3"/>
        <v>3791.8</v>
      </c>
      <c r="R13" s="190">
        <f t="shared" si="4"/>
        <v>3209</v>
      </c>
      <c r="S13" s="29">
        <v>433.09500000000003</v>
      </c>
      <c r="T13" s="128">
        <f t="shared" ref="T13:T19" si="7">ROUND(+E13*17.5%,2)+ROUND(E13*3%,2)</f>
        <v>1435.16</v>
      </c>
      <c r="U13" s="157">
        <f t="shared" si="5"/>
        <v>140.02000000000001</v>
      </c>
      <c r="V13" s="129">
        <f t="shared" si="6"/>
        <v>2008.2750000000001</v>
      </c>
      <c r="X13" s="169"/>
    </row>
    <row r="14" spans="2:24" ht="21" x14ac:dyDescent="0.35">
      <c r="B14" s="102" t="s">
        <v>25</v>
      </c>
      <c r="C14" s="30" t="s">
        <v>174</v>
      </c>
      <c r="D14" s="102" t="s">
        <v>115</v>
      </c>
      <c r="E14" s="103">
        <v>7000.8</v>
      </c>
      <c r="F14" s="126">
        <v>15</v>
      </c>
      <c r="G14" s="127">
        <v>1330.99</v>
      </c>
      <c r="H14" s="141"/>
      <c r="I14" s="139"/>
      <c r="J14" s="140"/>
      <c r="K14" s="103">
        <f>E14-I14</f>
        <v>7000.8</v>
      </c>
      <c r="L14" s="103">
        <v>0</v>
      </c>
      <c r="M14" s="103"/>
      <c r="N14" s="103">
        <v>857.15</v>
      </c>
      <c r="O14" s="103">
        <v>-0.03</v>
      </c>
      <c r="P14" s="156">
        <f>ROUND(E14*0.115,2)</f>
        <v>805.09</v>
      </c>
      <c r="Q14" s="103">
        <f>SUM(N14:P14)+G14</f>
        <v>2993.2</v>
      </c>
      <c r="R14" s="190">
        <f>K14-Q14</f>
        <v>4007.6000000000004</v>
      </c>
      <c r="S14" s="29">
        <v>433.09500000000003</v>
      </c>
      <c r="T14" s="128">
        <f t="shared" si="7"/>
        <v>1435.16</v>
      </c>
      <c r="U14" s="157">
        <f t="shared" si="5"/>
        <v>140.02000000000001</v>
      </c>
      <c r="V14" s="129">
        <f t="shared" si="6"/>
        <v>2008.2750000000001</v>
      </c>
      <c r="X14" s="169"/>
    </row>
    <row r="15" spans="2:24" ht="21" x14ac:dyDescent="0.35">
      <c r="B15" s="102" t="s">
        <v>26</v>
      </c>
      <c r="C15" s="125" t="s">
        <v>58</v>
      </c>
      <c r="D15" s="102" t="s">
        <v>37</v>
      </c>
      <c r="E15" s="103">
        <v>7443.8</v>
      </c>
      <c r="F15" s="126">
        <v>15</v>
      </c>
      <c r="G15" s="103"/>
      <c r="H15" s="103"/>
      <c r="I15" s="139"/>
      <c r="J15" s="103"/>
      <c r="K15" s="103">
        <f t="shared" si="1"/>
        <v>7443.8</v>
      </c>
      <c r="L15" s="103">
        <v>0</v>
      </c>
      <c r="M15" s="103"/>
      <c r="N15" s="103">
        <v>951.78</v>
      </c>
      <c r="O15" s="103">
        <v>-0.02</v>
      </c>
      <c r="P15" s="156">
        <f t="shared" si="2"/>
        <v>856.04</v>
      </c>
      <c r="Q15" s="103">
        <f t="shared" si="3"/>
        <v>1807.8</v>
      </c>
      <c r="R15" s="190">
        <f t="shared" si="4"/>
        <v>5636</v>
      </c>
      <c r="S15" s="29">
        <v>446.71999999999991</v>
      </c>
      <c r="T15" s="128">
        <f t="shared" si="7"/>
        <v>1525.98</v>
      </c>
      <c r="U15" s="157">
        <f t="shared" si="5"/>
        <v>148.88</v>
      </c>
      <c r="V15" s="129">
        <f t="shared" si="6"/>
        <v>2121.58</v>
      </c>
      <c r="X15" s="169"/>
    </row>
    <row r="16" spans="2:24" ht="21" x14ac:dyDescent="0.35">
      <c r="B16" s="102" t="s">
        <v>27</v>
      </c>
      <c r="C16" s="125" t="s">
        <v>40</v>
      </c>
      <c r="D16" s="102" t="s">
        <v>117</v>
      </c>
      <c r="E16" s="103">
        <v>4918.3649999999998</v>
      </c>
      <c r="F16" s="126">
        <v>15</v>
      </c>
      <c r="G16" s="127">
        <v>2050</v>
      </c>
      <c r="H16" s="103"/>
      <c r="I16" s="139"/>
      <c r="J16" s="103"/>
      <c r="K16" s="103">
        <f>E16-I16</f>
        <v>4918.3649999999998</v>
      </c>
      <c r="L16" s="103">
        <v>0</v>
      </c>
      <c r="M16" s="103"/>
      <c r="N16" s="103">
        <v>447.61</v>
      </c>
      <c r="O16" s="103">
        <v>-0.05</v>
      </c>
      <c r="P16" s="156">
        <f>ROUND(E16*0.115,2)</f>
        <v>565.61</v>
      </c>
      <c r="Q16" s="103">
        <f>SUM(N16:P16)+G16</f>
        <v>3063.17</v>
      </c>
      <c r="R16" s="190">
        <f t="shared" si="4"/>
        <v>1855.1949999999997</v>
      </c>
      <c r="S16" s="29">
        <v>373.15</v>
      </c>
      <c r="T16" s="128">
        <f t="shared" si="7"/>
        <v>1008.26</v>
      </c>
      <c r="U16" s="157">
        <f t="shared" si="5"/>
        <v>98.37</v>
      </c>
      <c r="V16" s="129">
        <f t="shared" si="6"/>
        <v>1479.7799999999997</v>
      </c>
      <c r="X16" s="169"/>
    </row>
    <row r="17" spans="2:24" ht="21" x14ac:dyDescent="0.35">
      <c r="B17" s="102" t="s">
        <v>60</v>
      </c>
      <c r="C17" s="125" t="s">
        <v>41</v>
      </c>
      <c r="D17" s="102" t="s">
        <v>118</v>
      </c>
      <c r="E17" s="103">
        <v>4918.3649999999998</v>
      </c>
      <c r="F17" s="126">
        <v>15</v>
      </c>
      <c r="G17" s="127">
        <v>1676.62</v>
      </c>
      <c r="H17" s="103"/>
      <c r="I17" s="139"/>
      <c r="J17" s="103"/>
      <c r="K17" s="103">
        <f>E17-I17</f>
        <v>4918.3649999999998</v>
      </c>
      <c r="L17" s="103">
        <v>0</v>
      </c>
      <c r="M17" s="103"/>
      <c r="N17" s="103">
        <v>447.61</v>
      </c>
      <c r="O17" s="103">
        <v>-7.0000000000000007E-2</v>
      </c>
      <c r="P17" s="156">
        <f t="shared" si="2"/>
        <v>565.61</v>
      </c>
      <c r="Q17" s="103">
        <f>SUM(N17:P17)+G17</f>
        <v>2689.77</v>
      </c>
      <c r="R17" s="190">
        <f>K17-Q17</f>
        <v>2228.5949999999998</v>
      </c>
      <c r="S17" s="29">
        <v>373.15</v>
      </c>
      <c r="T17" s="128">
        <f t="shared" si="7"/>
        <v>1008.26</v>
      </c>
      <c r="U17" s="157">
        <f t="shared" si="5"/>
        <v>98.37</v>
      </c>
      <c r="V17" s="129">
        <f t="shared" si="6"/>
        <v>1479.7799999999997</v>
      </c>
      <c r="X17" s="169"/>
    </row>
    <row r="18" spans="2:24" ht="21" x14ac:dyDescent="0.35">
      <c r="B18" s="102" t="s">
        <v>61</v>
      </c>
      <c r="C18" s="125" t="s">
        <v>43</v>
      </c>
      <c r="D18" s="102" t="s">
        <v>3</v>
      </c>
      <c r="E18" s="103">
        <v>4358.17</v>
      </c>
      <c r="F18" s="126">
        <v>15</v>
      </c>
      <c r="G18" s="127">
        <v>1211</v>
      </c>
      <c r="H18" s="103"/>
      <c r="I18" s="32"/>
      <c r="J18" s="103"/>
      <c r="K18" s="103">
        <f t="shared" si="1"/>
        <v>4358.17</v>
      </c>
      <c r="L18" s="103"/>
      <c r="M18" s="103"/>
      <c r="N18" s="103">
        <v>357.97</v>
      </c>
      <c r="O18" s="103">
        <v>0.01</v>
      </c>
      <c r="P18" s="156">
        <f t="shared" si="2"/>
        <v>501.19</v>
      </c>
      <c r="Q18" s="103">
        <f t="shared" si="3"/>
        <v>2070.17</v>
      </c>
      <c r="R18" s="190">
        <f t="shared" si="4"/>
        <v>2288</v>
      </c>
      <c r="S18" s="29">
        <v>337.59</v>
      </c>
      <c r="T18" s="128">
        <f t="shared" si="7"/>
        <v>893.43</v>
      </c>
      <c r="U18" s="157">
        <f t="shared" si="5"/>
        <v>87.16</v>
      </c>
      <c r="V18" s="129">
        <f t="shared" si="6"/>
        <v>1318.18</v>
      </c>
      <c r="X18" s="169"/>
    </row>
    <row r="19" spans="2:24" ht="21" x14ac:dyDescent="0.35">
      <c r="B19" s="102" t="s">
        <v>62</v>
      </c>
      <c r="C19" s="125" t="s">
        <v>42</v>
      </c>
      <c r="D19" s="102" t="s">
        <v>119</v>
      </c>
      <c r="E19" s="103">
        <v>4918.3649999999998</v>
      </c>
      <c r="F19" s="126">
        <v>15</v>
      </c>
      <c r="G19" s="127">
        <v>1213.4000000000001</v>
      </c>
      <c r="H19" s="130"/>
      <c r="I19" s="139"/>
      <c r="J19" s="103"/>
      <c r="K19" s="103">
        <f>E19-I19+H19</f>
        <v>4918.3649999999998</v>
      </c>
      <c r="L19" s="103"/>
      <c r="M19" s="103"/>
      <c r="N19" s="103">
        <v>447.61</v>
      </c>
      <c r="O19" s="103">
        <v>-0.05</v>
      </c>
      <c r="P19" s="156">
        <f t="shared" si="2"/>
        <v>565.61</v>
      </c>
      <c r="Q19" s="103">
        <f t="shared" si="3"/>
        <v>2226.5700000000002</v>
      </c>
      <c r="R19" s="190">
        <f t="shared" si="4"/>
        <v>2691.7949999999996</v>
      </c>
      <c r="S19" s="29">
        <v>373.15</v>
      </c>
      <c r="T19" s="128">
        <f t="shared" si="7"/>
        <v>1008.26</v>
      </c>
      <c r="U19" s="157">
        <f t="shared" si="5"/>
        <v>98.37</v>
      </c>
      <c r="V19" s="129">
        <f t="shared" si="6"/>
        <v>1479.7799999999997</v>
      </c>
      <c r="X19" s="169"/>
    </row>
    <row r="20" spans="2:24" ht="18.75" x14ac:dyDescent="0.3">
      <c r="B20" s="138" t="s">
        <v>20</v>
      </c>
      <c r="C20" s="194"/>
      <c r="D20" s="133"/>
      <c r="E20" s="135">
        <f>SUM(E12:E19)</f>
        <v>53558.664999999994</v>
      </c>
      <c r="F20" s="135"/>
      <c r="G20" s="135">
        <f>+G19+G18+G17+G16+G12+G13+G14</f>
        <v>9611.58</v>
      </c>
      <c r="H20" s="135"/>
      <c r="I20" s="135">
        <f t="shared" ref="I20:V20" si="8">SUM(I12:I19)</f>
        <v>0</v>
      </c>
      <c r="J20" s="135">
        <f t="shared" si="8"/>
        <v>0</v>
      </c>
      <c r="K20" s="135">
        <f>SUM(K12:K19)</f>
        <v>53558.664999999994</v>
      </c>
      <c r="L20" s="135">
        <f t="shared" ref="L20" si="9">SUM(L12:L19)</f>
        <v>0</v>
      </c>
      <c r="M20" s="135">
        <f>SUM(M12:M19)</f>
        <v>0</v>
      </c>
      <c r="N20" s="135">
        <f>SUM(N12:N19)</f>
        <v>6528.11</v>
      </c>
      <c r="O20" s="135">
        <f t="shared" si="8"/>
        <v>-0.25</v>
      </c>
      <c r="P20" s="135">
        <f>SUM(P12:P19)</f>
        <v>6159.2399999999989</v>
      </c>
      <c r="Q20" s="135">
        <f t="shared" si="8"/>
        <v>22298.68</v>
      </c>
      <c r="R20" s="135">
        <f>ROUND(SUM(R12:R19),1)</f>
        <v>31260</v>
      </c>
      <c r="S20" s="135">
        <f>SUM(S12:S19)</f>
        <v>3387.5750000000003</v>
      </c>
      <c r="T20" s="135">
        <f t="shared" si="8"/>
        <v>10979.51</v>
      </c>
      <c r="U20" s="135">
        <f>SUM(U12:U19)</f>
        <v>1071.19</v>
      </c>
      <c r="V20" s="135">
        <f t="shared" si="8"/>
        <v>15438.274999999998</v>
      </c>
      <c r="X20" s="169"/>
    </row>
    <row r="21" spans="2:24" ht="18.75" hidden="1" x14ac:dyDescent="0.3">
      <c r="B21" s="138"/>
      <c r="C21" s="136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37"/>
      <c r="X21" s="169"/>
    </row>
    <row r="22" spans="2:24" ht="18.75" x14ac:dyDescent="0.3">
      <c r="B22" s="138" t="s">
        <v>31</v>
      </c>
      <c r="C22" s="31" t="s">
        <v>83</v>
      </c>
      <c r="E22" s="103"/>
      <c r="F22" s="103"/>
      <c r="G22" s="103"/>
      <c r="H22" s="103"/>
      <c r="I22" s="103"/>
      <c r="J22" s="103"/>
      <c r="K22" s="142"/>
      <c r="L22" s="142"/>
      <c r="M22" s="103"/>
      <c r="N22" s="103"/>
      <c r="O22" s="103"/>
      <c r="P22" s="103"/>
      <c r="Q22" s="103"/>
      <c r="R22" s="137"/>
      <c r="X22" s="169"/>
    </row>
    <row r="23" spans="2:24" ht="21" x14ac:dyDescent="0.35">
      <c r="B23" s="102" t="s">
        <v>63</v>
      </c>
      <c r="C23" s="125" t="s">
        <v>110</v>
      </c>
      <c r="D23" s="158" t="s">
        <v>132</v>
      </c>
      <c r="E23" s="103">
        <v>7000.8</v>
      </c>
      <c r="F23" s="126">
        <v>15</v>
      </c>
      <c r="G23" s="103"/>
      <c r="H23" s="103"/>
      <c r="I23" s="103"/>
      <c r="J23" s="103"/>
      <c r="K23" s="103">
        <f>E23-I23</f>
        <v>7000.8</v>
      </c>
      <c r="L23" s="103">
        <v>0</v>
      </c>
      <c r="M23" s="103"/>
      <c r="N23" s="103">
        <v>857.15</v>
      </c>
      <c r="O23" s="103">
        <v>-0.04</v>
      </c>
      <c r="P23" s="156">
        <f>ROUND(E23*0.115,2)</f>
        <v>805.09</v>
      </c>
      <c r="Q23" s="103">
        <f t="shared" ref="Q23:Q24" si="10">SUM(N23:P23)+G23</f>
        <v>1662.2</v>
      </c>
      <c r="R23" s="190">
        <f>K23-Q23</f>
        <v>5338.6</v>
      </c>
      <c r="S23" s="170">
        <v>433.09500000000003</v>
      </c>
      <c r="T23" s="128">
        <f t="shared" ref="T23:T26" si="11">ROUND(+E23*17.5%,2)+ROUND(E23*3%,2)</f>
        <v>1435.16</v>
      </c>
      <c r="U23" s="157">
        <f t="shared" ref="U23:U26" si="12">ROUND(+E23*2%,2)</f>
        <v>140.02000000000001</v>
      </c>
      <c r="V23" s="129">
        <f t="shared" ref="V23:V24" si="13">SUM(S23:U23)</f>
        <v>2008.2750000000001</v>
      </c>
      <c r="X23" s="169"/>
    </row>
    <row r="24" spans="2:24" ht="21" x14ac:dyDescent="0.35">
      <c r="B24" s="102" t="s">
        <v>112</v>
      </c>
      <c r="C24" s="125" t="s">
        <v>113</v>
      </c>
      <c r="D24" s="158" t="s">
        <v>133</v>
      </c>
      <c r="E24" s="103">
        <v>7000.8</v>
      </c>
      <c r="F24" s="126">
        <v>15</v>
      </c>
      <c r="G24" s="103"/>
      <c r="H24" s="103"/>
      <c r="I24" s="139"/>
      <c r="J24" s="103"/>
      <c r="K24" s="103">
        <f>E24-I24</f>
        <v>7000.8</v>
      </c>
      <c r="L24" s="103">
        <v>0</v>
      </c>
      <c r="M24" s="103"/>
      <c r="N24" s="103">
        <v>857.15</v>
      </c>
      <c r="O24" s="103">
        <v>-0.04</v>
      </c>
      <c r="P24" s="156">
        <f>ROUND(E24*0.115,2)</f>
        <v>805.09</v>
      </c>
      <c r="Q24" s="103">
        <f t="shared" si="10"/>
        <v>1662.2</v>
      </c>
      <c r="R24" s="190">
        <f>K24-Q24</f>
        <v>5338.6</v>
      </c>
      <c r="S24" s="170">
        <v>433.09500000000003</v>
      </c>
      <c r="T24" s="128">
        <f t="shared" si="11"/>
        <v>1435.16</v>
      </c>
      <c r="U24" s="157">
        <f t="shared" si="12"/>
        <v>140.02000000000001</v>
      </c>
      <c r="V24" s="129">
        <f t="shared" si="13"/>
        <v>2008.2750000000001</v>
      </c>
      <c r="X24" s="169"/>
    </row>
    <row r="25" spans="2:24" ht="21" x14ac:dyDescent="0.35">
      <c r="B25" s="102" t="s">
        <v>64</v>
      </c>
      <c r="C25" s="125" t="s">
        <v>45</v>
      </c>
      <c r="D25" s="102" t="s">
        <v>122</v>
      </c>
      <c r="E25" s="103">
        <v>7000.8</v>
      </c>
      <c r="F25" s="126">
        <v>15</v>
      </c>
      <c r="G25" s="141"/>
      <c r="H25" s="103"/>
      <c r="I25" s="143"/>
      <c r="J25" s="103"/>
      <c r="K25" s="103">
        <f>E25-I25</f>
        <v>7000.8</v>
      </c>
      <c r="L25" s="103">
        <v>0</v>
      </c>
      <c r="M25" s="103"/>
      <c r="N25" s="103">
        <v>857.15</v>
      </c>
      <c r="O25" s="103">
        <v>-0.04</v>
      </c>
      <c r="P25" s="156">
        <f>ROUND(E25*0.115,2)</f>
        <v>805.09</v>
      </c>
      <c r="Q25" s="103">
        <f>SUM(N25:P25)+G25</f>
        <v>1662.2</v>
      </c>
      <c r="R25" s="190">
        <f>K25-Q25</f>
        <v>5338.6</v>
      </c>
      <c r="S25" s="170">
        <v>433.09500000000003</v>
      </c>
      <c r="T25" s="128">
        <f t="shared" si="11"/>
        <v>1435.16</v>
      </c>
      <c r="U25" s="157">
        <f t="shared" si="12"/>
        <v>140.02000000000001</v>
      </c>
      <c r="V25" s="129">
        <f>SUM(S25:U25)</f>
        <v>2008.2750000000001</v>
      </c>
      <c r="X25" s="169"/>
    </row>
    <row r="26" spans="2:24" ht="21" x14ac:dyDescent="0.35">
      <c r="B26" s="102" t="s">
        <v>65</v>
      </c>
      <c r="C26" s="125" t="s">
        <v>59</v>
      </c>
      <c r="D26" s="158" t="s">
        <v>134</v>
      </c>
      <c r="E26" s="103">
        <v>7000.8</v>
      </c>
      <c r="F26" s="126">
        <v>15</v>
      </c>
      <c r="G26" s="141"/>
      <c r="H26" s="130"/>
      <c r="I26" s="130"/>
      <c r="J26" s="103"/>
      <c r="K26" s="103">
        <f>E26-I26+H26</f>
        <v>7000.8</v>
      </c>
      <c r="L26" s="103">
        <v>0</v>
      </c>
      <c r="M26" s="103"/>
      <c r="N26" s="103">
        <v>857.15</v>
      </c>
      <c r="O26" s="103">
        <v>-0.04</v>
      </c>
      <c r="P26" s="156">
        <f>ROUND(E26*0.115,2)</f>
        <v>805.09</v>
      </c>
      <c r="Q26" s="103">
        <f>SUM(N26:P26)+G26</f>
        <v>1662.2</v>
      </c>
      <c r="R26" s="190">
        <f>K26-Q26</f>
        <v>5338.6</v>
      </c>
      <c r="S26" s="170">
        <v>433.09500000000003</v>
      </c>
      <c r="T26" s="128">
        <f t="shared" si="11"/>
        <v>1435.16</v>
      </c>
      <c r="U26" s="157">
        <f t="shared" si="12"/>
        <v>140.02000000000001</v>
      </c>
      <c r="V26" s="129">
        <f>SUM(S26:U26)</f>
        <v>2008.2750000000001</v>
      </c>
      <c r="X26" s="169"/>
    </row>
    <row r="27" spans="2:24" ht="18.75" x14ac:dyDescent="0.3">
      <c r="B27" s="138" t="s">
        <v>20</v>
      </c>
      <c r="C27" s="132"/>
      <c r="D27" s="133"/>
      <c r="E27" s="135">
        <f>SUM(E23:E26)</f>
        <v>28003.200000000001</v>
      </c>
      <c r="F27" s="135"/>
      <c r="G27" s="135">
        <f>+G26+G25+G23+G24</f>
        <v>0</v>
      </c>
      <c r="H27" s="135"/>
      <c r="I27" s="135">
        <f t="shared" ref="I27:J27" si="14">SUM(I23:I26)</f>
        <v>0</v>
      </c>
      <c r="J27" s="135">
        <f t="shared" si="14"/>
        <v>0</v>
      </c>
      <c r="K27" s="135">
        <f>SUM(K23:K26)</f>
        <v>28003.200000000001</v>
      </c>
      <c r="L27" s="135">
        <f t="shared" ref="L27" si="15">SUM(L23:L26)</f>
        <v>0</v>
      </c>
      <c r="M27" s="135">
        <f>SUM(M23:M26)</f>
        <v>0</v>
      </c>
      <c r="N27" s="135">
        <f>SUM(N23:N26)</f>
        <v>3428.6</v>
      </c>
      <c r="O27" s="135">
        <f t="shared" ref="O27:Q27" si="16">SUM(O23:O26)</f>
        <v>-0.16</v>
      </c>
      <c r="P27" s="135">
        <f>SUM(P23:P26)</f>
        <v>3220.36</v>
      </c>
      <c r="Q27" s="135">
        <f t="shared" si="16"/>
        <v>6648.8</v>
      </c>
      <c r="R27" s="135">
        <f>ROUND(SUM(R23:R26),1)</f>
        <v>21354.400000000001</v>
      </c>
      <c r="S27" s="135">
        <f>SUM(S23:S26)</f>
        <v>1732.38</v>
      </c>
      <c r="T27" s="135">
        <f>SUM(T23:T26)</f>
        <v>5740.64</v>
      </c>
      <c r="U27" s="135">
        <f>SUM(U23:U26)</f>
        <v>560.08000000000004</v>
      </c>
      <c r="V27" s="135">
        <f>SUM(V23:V26)</f>
        <v>8033.1</v>
      </c>
      <c r="X27" s="169"/>
    </row>
    <row r="28" spans="2:24" ht="18.75" hidden="1" x14ac:dyDescent="0.3">
      <c r="C28" s="136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37"/>
      <c r="X28" s="169"/>
    </row>
    <row r="29" spans="2:24" ht="18.75" x14ac:dyDescent="0.3">
      <c r="B29" s="138" t="s">
        <v>33</v>
      </c>
      <c r="C29" s="31" t="s">
        <v>32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37"/>
      <c r="X29" s="169"/>
    </row>
    <row r="30" spans="2:24" ht="21" x14ac:dyDescent="0.35">
      <c r="B30" s="102" t="s">
        <v>66</v>
      </c>
      <c r="C30" s="125" t="s">
        <v>49</v>
      </c>
      <c r="D30" s="158" t="s">
        <v>128</v>
      </c>
      <c r="E30" s="103">
        <v>7000.8</v>
      </c>
      <c r="F30" s="126">
        <v>15</v>
      </c>
      <c r="G30" s="103"/>
      <c r="H30" s="103"/>
      <c r="I30" s="144"/>
      <c r="J30" s="103"/>
      <c r="K30" s="103">
        <f t="shared" ref="K30:K43" si="17">E30-I30</f>
        <v>7000.8</v>
      </c>
      <c r="L30" s="103">
        <v>0</v>
      </c>
      <c r="M30" s="103"/>
      <c r="N30" s="103">
        <v>857.15</v>
      </c>
      <c r="O30" s="103">
        <v>-0.04</v>
      </c>
      <c r="P30" s="156">
        <f>ROUND(E30*0.115,2)</f>
        <v>805.09</v>
      </c>
      <c r="Q30" s="103">
        <f t="shared" ref="Q30:Q40" si="18">SUM(N30:P30)+G30</f>
        <v>1662.2</v>
      </c>
      <c r="R30" s="190">
        <f t="shared" ref="R30:R43" si="19">K30-Q30</f>
        <v>5338.6</v>
      </c>
      <c r="S30" s="170">
        <v>433.09500000000003</v>
      </c>
      <c r="T30" s="128">
        <f t="shared" ref="T30:T40" si="20">ROUND(+E30*17.5%,2)+ROUND(E30*3%,2)</f>
        <v>1435.16</v>
      </c>
      <c r="U30" s="157">
        <f t="shared" ref="U30:U40" si="21">ROUND(+E30*2%,2)</f>
        <v>140.02000000000001</v>
      </c>
      <c r="V30" s="129">
        <f>SUM(S30:U30)</f>
        <v>2008.2750000000001</v>
      </c>
      <c r="X30" s="169"/>
    </row>
    <row r="31" spans="2:24" ht="21" x14ac:dyDescent="0.35">
      <c r="B31" s="102" t="s">
        <v>67</v>
      </c>
      <c r="C31" s="125" t="s">
        <v>51</v>
      </c>
      <c r="D31" s="158" t="s">
        <v>135</v>
      </c>
      <c r="E31" s="103">
        <v>7000.8</v>
      </c>
      <c r="F31" s="126">
        <v>15</v>
      </c>
      <c r="G31" s="127">
        <v>1556</v>
      </c>
      <c r="H31" s="103"/>
      <c r="I31" s="130"/>
      <c r="J31" s="141"/>
      <c r="K31" s="141">
        <f t="shared" si="17"/>
        <v>7000.8</v>
      </c>
      <c r="L31" s="141">
        <v>0</v>
      </c>
      <c r="M31" s="103"/>
      <c r="N31" s="103">
        <v>857.15</v>
      </c>
      <c r="O31" s="103">
        <v>-0.04</v>
      </c>
      <c r="P31" s="156">
        <f t="shared" ref="P31:P40" si="22">ROUND(E31*0.115,2)</f>
        <v>805.09</v>
      </c>
      <c r="Q31" s="103">
        <f>SUM(N31:P31)+G31</f>
        <v>3218.2</v>
      </c>
      <c r="R31" s="190">
        <f t="shared" si="19"/>
        <v>3782.6000000000004</v>
      </c>
      <c r="S31" s="170">
        <v>433.09500000000003</v>
      </c>
      <c r="T31" s="128">
        <f t="shared" si="20"/>
        <v>1435.16</v>
      </c>
      <c r="U31" s="157">
        <f t="shared" si="21"/>
        <v>140.02000000000001</v>
      </c>
      <c r="V31" s="129">
        <f>SUM(S31:U31)</f>
        <v>2008.2750000000001</v>
      </c>
      <c r="X31" s="169"/>
    </row>
    <row r="32" spans="2:24" ht="21" x14ac:dyDescent="0.35">
      <c r="B32" s="102" t="s">
        <v>68</v>
      </c>
      <c r="C32" s="125" t="s">
        <v>48</v>
      </c>
      <c r="D32" s="102" t="s">
        <v>123</v>
      </c>
      <c r="E32" s="103">
        <v>7443.8</v>
      </c>
      <c r="F32" s="126">
        <v>15</v>
      </c>
      <c r="G32" s="103"/>
      <c r="H32" s="103"/>
      <c r="I32" s="130"/>
      <c r="J32" s="103"/>
      <c r="K32" s="103">
        <f t="shared" si="17"/>
        <v>7443.8</v>
      </c>
      <c r="L32" s="103">
        <v>0</v>
      </c>
      <c r="M32" s="103"/>
      <c r="N32" s="103">
        <v>951.78</v>
      </c>
      <c r="O32" s="103">
        <v>-0.02</v>
      </c>
      <c r="P32" s="156">
        <f t="shared" si="22"/>
        <v>856.04</v>
      </c>
      <c r="Q32" s="103">
        <f t="shared" si="18"/>
        <v>1807.8</v>
      </c>
      <c r="R32" s="190">
        <f t="shared" si="19"/>
        <v>5636</v>
      </c>
      <c r="S32" s="170">
        <v>446.71999999999991</v>
      </c>
      <c r="T32" s="128">
        <f t="shared" si="20"/>
        <v>1525.98</v>
      </c>
      <c r="U32" s="157">
        <f>ROUND(+E32*2%,2)</f>
        <v>148.88</v>
      </c>
      <c r="V32" s="129">
        <f t="shared" ref="V32:V40" si="23">SUM(S32:U32)</f>
        <v>2121.58</v>
      </c>
      <c r="X32" s="169"/>
    </row>
    <row r="33" spans="2:24" ht="21" x14ac:dyDescent="0.35">
      <c r="B33" s="102" t="s">
        <v>77</v>
      </c>
      <c r="C33" s="125" t="s">
        <v>111</v>
      </c>
      <c r="D33" s="102" t="s">
        <v>127</v>
      </c>
      <c r="E33" s="103">
        <v>7000.8</v>
      </c>
      <c r="F33" s="126">
        <v>15</v>
      </c>
      <c r="G33" s="127">
        <v>1167</v>
      </c>
      <c r="H33" s="103"/>
      <c r="I33" s="144"/>
      <c r="J33" s="103"/>
      <c r="K33" s="103">
        <f>E33-I33</f>
        <v>7000.8</v>
      </c>
      <c r="L33" s="103">
        <v>0</v>
      </c>
      <c r="M33" s="103"/>
      <c r="N33" s="103">
        <v>857.15</v>
      </c>
      <c r="O33" s="103">
        <v>-0.04</v>
      </c>
      <c r="P33" s="156">
        <f t="shared" si="22"/>
        <v>805.09</v>
      </c>
      <c r="Q33" s="103">
        <f>SUM(N33:P33)+G33</f>
        <v>2829.2</v>
      </c>
      <c r="R33" s="190">
        <f>K33-Q33</f>
        <v>4171.6000000000004</v>
      </c>
      <c r="S33" s="170">
        <v>433.09500000000003</v>
      </c>
      <c r="T33" s="128">
        <f t="shared" si="20"/>
        <v>1435.16</v>
      </c>
      <c r="U33" s="157">
        <f t="shared" si="21"/>
        <v>140.02000000000001</v>
      </c>
      <c r="V33" s="129">
        <f t="shared" si="23"/>
        <v>2008.2750000000001</v>
      </c>
      <c r="X33" s="169"/>
    </row>
    <row r="34" spans="2:24" ht="21" x14ac:dyDescent="0.35">
      <c r="B34" s="102" t="s">
        <v>70</v>
      </c>
      <c r="C34" s="125" t="s">
        <v>46</v>
      </c>
      <c r="D34" s="102" t="s">
        <v>124</v>
      </c>
      <c r="E34" s="103">
        <v>7000.8</v>
      </c>
      <c r="F34" s="126">
        <v>15</v>
      </c>
      <c r="G34" s="127">
        <v>1945</v>
      </c>
      <c r="H34" s="103"/>
      <c r="I34" s="139"/>
      <c r="J34" s="141"/>
      <c r="K34" s="141">
        <f t="shared" si="17"/>
        <v>7000.8</v>
      </c>
      <c r="L34" s="141">
        <v>0</v>
      </c>
      <c r="M34" s="103"/>
      <c r="N34" s="103">
        <v>857.15</v>
      </c>
      <c r="O34" s="103">
        <v>-0.04</v>
      </c>
      <c r="P34" s="156">
        <f t="shared" si="22"/>
        <v>805.09</v>
      </c>
      <c r="Q34" s="103">
        <f t="shared" si="18"/>
        <v>3607.2</v>
      </c>
      <c r="R34" s="190">
        <f t="shared" si="19"/>
        <v>3393.6000000000004</v>
      </c>
      <c r="S34" s="170">
        <v>433.09500000000003</v>
      </c>
      <c r="T34" s="128">
        <f t="shared" si="20"/>
        <v>1435.16</v>
      </c>
      <c r="U34" s="157">
        <f t="shared" si="21"/>
        <v>140.02000000000001</v>
      </c>
      <c r="V34" s="129">
        <f t="shared" si="23"/>
        <v>2008.2750000000001</v>
      </c>
      <c r="X34" s="169"/>
    </row>
    <row r="35" spans="2:24" ht="21" x14ac:dyDescent="0.35">
      <c r="B35" s="102" t="s">
        <v>71</v>
      </c>
      <c r="C35" s="125" t="s">
        <v>50</v>
      </c>
      <c r="D35" s="102" t="s">
        <v>124</v>
      </c>
      <c r="E35" s="103">
        <v>7000.8</v>
      </c>
      <c r="F35" s="126">
        <v>15</v>
      </c>
      <c r="G35" s="103"/>
      <c r="H35" s="141"/>
      <c r="I35" s="130"/>
      <c r="J35" s="141"/>
      <c r="K35" s="141">
        <f t="shared" si="17"/>
        <v>7000.8</v>
      </c>
      <c r="L35" s="141">
        <v>0</v>
      </c>
      <c r="M35" s="103"/>
      <c r="N35" s="103">
        <v>857.15</v>
      </c>
      <c r="O35" s="103">
        <v>-0.04</v>
      </c>
      <c r="P35" s="156">
        <f t="shared" si="22"/>
        <v>805.09</v>
      </c>
      <c r="Q35" s="103">
        <f t="shared" si="18"/>
        <v>1662.2</v>
      </c>
      <c r="R35" s="190">
        <f t="shared" si="19"/>
        <v>5338.6</v>
      </c>
      <c r="S35" s="170">
        <v>433.09500000000003</v>
      </c>
      <c r="T35" s="128">
        <f t="shared" si="20"/>
        <v>1435.16</v>
      </c>
      <c r="U35" s="157">
        <f t="shared" si="21"/>
        <v>140.02000000000001</v>
      </c>
      <c r="V35" s="129">
        <f t="shared" si="23"/>
        <v>2008.2750000000001</v>
      </c>
      <c r="X35" s="169"/>
    </row>
    <row r="36" spans="2:24" ht="21" x14ac:dyDescent="0.35">
      <c r="B36" s="102" t="s">
        <v>72</v>
      </c>
      <c r="C36" s="125" t="s">
        <v>52</v>
      </c>
      <c r="D36" s="102" t="s">
        <v>124</v>
      </c>
      <c r="E36" s="103">
        <v>7000.8</v>
      </c>
      <c r="F36" s="126">
        <v>15</v>
      </c>
      <c r="G36" s="103"/>
      <c r="H36" s="103"/>
      <c r="I36" s="139"/>
      <c r="J36" s="141"/>
      <c r="K36" s="141">
        <f t="shared" si="17"/>
        <v>7000.8</v>
      </c>
      <c r="L36" s="141">
        <v>0</v>
      </c>
      <c r="M36" s="103"/>
      <c r="N36" s="103">
        <v>857.15</v>
      </c>
      <c r="O36" s="103">
        <v>-0.04</v>
      </c>
      <c r="P36" s="156">
        <f t="shared" si="22"/>
        <v>805.09</v>
      </c>
      <c r="Q36" s="103">
        <f t="shared" si="18"/>
        <v>1662.2</v>
      </c>
      <c r="R36" s="190">
        <f t="shared" si="19"/>
        <v>5338.6</v>
      </c>
      <c r="S36" s="170">
        <v>433.09500000000003</v>
      </c>
      <c r="T36" s="128">
        <f t="shared" si="20"/>
        <v>1435.16</v>
      </c>
      <c r="U36" s="157">
        <f t="shared" si="21"/>
        <v>140.02000000000001</v>
      </c>
      <c r="V36" s="129">
        <f t="shared" si="23"/>
        <v>2008.2750000000001</v>
      </c>
      <c r="X36" s="169"/>
    </row>
    <row r="37" spans="2:24" s="162" customFormat="1" ht="21" x14ac:dyDescent="0.35">
      <c r="B37" s="7" t="s">
        <v>73</v>
      </c>
      <c r="C37" s="30" t="s">
        <v>47</v>
      </c>
      <c r="D37" s="7" t="s">
        <v>125</v>
      </c>
      <c r="E37" s="103">
        <v>7000.8</v>
      </c>
      <c r="F37" s="126">
        <v>15</v>
      </c>
      <c r="G37" s="103"/>
      <c r="H37" s="103"/>
      <c r="I37" s="139"/>
      <c r="J37" s="141"/>
      <c r="K37" s="141">
        <f t="shared" si="17"/>
        <v>7000.8</v>
      </c>
      <c r="L37" s="141">
        <v>0</v>
      </c>
      <c r="M37" s="103"/>
      <c r="N37" s="103">
        <v>857.15</v>
      </c>
      <c r="O37" s="103">
        <v>-0.04</v>
      </c>
      <c r="P37" s="156">
        <f t="shared" si="22"/>
        <v>805.09</v>
      </c>
      <c r="Q37" s="103">
        <f t="shared" si="18"/>
        <v>1662.2</v>
      </c>
      <c r="R37" s="190">
        <f t="shared" si="19"/>
        <v>5338.6</v>
      </c>
      <c r="S37" s="170">
        <v>433.09500000000003</v>
      </c>
      <c r="T37" s="128">
        <f t="shared" si="20"/>
        <v>1435.16</v>
      </c>
      <c r="U37" s="157">
        <f t="shared" si="21"/>
        <v>140.02000000000001</v>
      </c>
      <c r="V37" s="129">
        <f t="shared" si="23"/>
        <v>2008.2750000000001</v>
      </c>
      <c r="X37" s="128"/>
    </row>
    <row r="38" spans="2:24" ht="21" x14ac:dyDescent="0.35">
      <c r="B38" s="102" t="s">
        <v>74</v>
      </c>
      <c r="C38" s="125" t="s">
        <v>53</v>
      </c>
      <c r="D38" s="102" t="s">
        <v>125</v>
      </c>
      <c r="E38" s="103">
        <v>7000.8</v>
      </c>
      <c r="F38" s="126">
        <v>15</v>
      </c>
      <c r="G38" s="141"/>
      <c r="H38" s="103"/>
      <c r="I38" s="139"/>
      <c r="J38" s="103"/>
      <c r="K38" s="103">
        <f t="shared" si="17"/>
        <v>7000.8</v>
      </c>
      <c r="L38" s="103">
        <v>0</v>
      </c>
      <c r="M38" s="103"/>
      <c r="N38" s="103">
        <v>857.15</v>
      </c>
      <c r="O38" s="103">
        <v>-0.04</v>
      </c>
      <c r="P38" s="156">
        <f t="shared" si="22"/>
        <v>805.09</v>
      </c>
      <c r="Q38" s="103">
        <f>SUM(N38:P38)+G38</f>
        <v>1662.2</v>
      </c>
      <c r="R38" s="190">
        <f t="shared" si="19"/>
        <v>5338.6</v>
      </c>
      <c r="S38" s="170">
        <v>433.09500000000003</v>
      </c>
      <c r="T38" s="128">
        <f t="shared" si="20"/>
        <v>1435.16</v>
      </c>
      <c r="U38" s="157">
        <f t="shared" si="21"/>
        <v>140.02000000000001</v>
      </c>
      <c r="V38" s="129">
        <f t="shared" si="23"/>
        <v>2008.2750000000001</v>
      </c>
      <c r="X38" s="169"/>
    </row>
    <row r="39" spans="2:24" ht="21" x14ac:dyDescent="0.35">
      <c r="B39" s="102" t="s">
        <v>75</v>
      </c>
      <c r="C39" s="125" t="s">
        <v>39</v>
      </c>
      <c r="D39" s="102" t="s">
        <v>126</v>
      </c>
      <c r="E39" s="103">
        <v>7000.8</v>
      </c>
      <c r="F39" s="126">
        <v>15</v>
      </c>
      <c r="G39" s="141"/>
      <c r="H39" s="103"/>
      <c r="I39" s="144"/>
      <c r="J39" s="103"/>
      <c r="K39" s="103">
        <f t="shared" si="17"/>
        <v>7000.8</v>
      </c>
      <c r="L39" s="103">
        <v>0</v>
      </c>
      <c r="M39" s="103"/>
      <c r="N39" s="103">
        <v>857.15</v>
      </c>
      <c r="O39" s="103">
        <v>0.16</v>
      </c>
      <c r="P39" s="156">
        <f t="shared" si="22"/>
        <v>805.09</v>
      </c>
      <c r="Q39" s="103">
        <f>SUM(N39:P39)+G39</f>
        <v>1662.4</v>
      </c>
      <c r="R39" s="190">
        <f t="shared" si="19"/>
        <v>5338.4</v>
      </c>
      <c r="S39" s="170">
        <v>433.09500000000003</v>
      </c>
      <c r="T39" s="128">
        <f t="shared" si="20"/>
        <v>1435.16</v>
      </c>
      <c r="U39" s="157">
        <f t="shared" si="21"/>
        <v>140.02000000000001</v>
      </c>
      <c r="V39" s="129">
        <f t="shared" si="23"/>
        <v>2008.2750000000001</v>
      </c>
      <c r="X39" s="169"/>
    </row>
    <row r="40" spans="2:24" ht="21" x14ac:dyDescent="0.35">
      <c r="B40" s="102" t="s">
        <v>76</v>
      </c>
      <c r="C40" s="125" t="s">
        <v>54</v>
      </c>
      <c r="D40" s="102" t="s">
        <v>126</v>
      </c>
      <c r="E40" s="103">
        <v>7000.8</v>
      </c>
      <c r="F40" s="126">
        <v>15</v>
      </c>
      <c r="G40" s="127">
        <v>1910</v>
      </c>
      <c r="H40" s="103"/>
      <c r="I40" s="144"/>
      <c r="J40" s="103"/>
      <c r="K40" s="103">
        <f t="shared" si="17"/>
        <v>7000.8</v>
      </c>
      <c r="L40" s="103">
        <v>0</v>
      </c>
      <c r="M40" s="103"/>
      <c r="N40" s="103">
        <v>857.15</v>
      </c>
      <c r="O40" s="103">
        <v>0.16</v>
      </c>
      <c r="P40" s="156">
        <f t="shared" si="22"/>
        <v>805.09</v>
      </c>
      <c r="Q40" s="103">
        <f t="shared" si="18"/>
        <v>3572.4</v>
      </c>
      <c r="R40" s="190">
        <f t="shared" si="19"/>
        <v>3428.4</v>
      </c>
      <c r="S40" s="170">
        <v>433.09500000000003</v>
      </c>
      <c r="T40" s="128">
        <f t="shared" si="20"/>
        <v>1435.16</v>
      </c>
      <c r="U40" s="157">
        <f t="shared" si="21"/>
        <v>140.02000000000001</v>
      </c>
      <c r="V40" s="129">
        <f t="shared" si="23"/>
        <v>2008.2750000000001</v>
      </c>
      <c r="X40" s="169"/>
    </row>
    <row r="41" spans="2:24" ht="21" x14ac:dyDescent="0.35">
      <c r="B41" s="158" t="s">
        <v>150</v>
      </c>
      <c r="C41" s="30" t="s">
        <v>171</v>
      </c>
      <c r="D41" s="158" t="s">
        <v>109</v>
      </c>
      <c r="E41" s="103">
        <v>7000.8</v>
      </c>
      <c r="F41" s="126">
        <v>15</v>
      </c>
      <c r="G41" s="141"/>
      <c r="H41" s="103"/>
      <c r="I41" s="144"/>
      <c r="J41" s="103"/>
      <c r="K41" s="103">
        <f t="shared" si="17"/>
        <v>7000.8</v>
      </c>
      <c r="L41" s="103">
        <v>0</v>
      </c>
      <c r="M41" s="103"/>
      <c r="N41" s="103">
        <v>857.15</v>
      </c>
      <c r="O41" s="103">
        <v>0.05</v>
      </c>
      <c r="P41" s="141"/>
      <c r="Q41" s="103">
        <f t="shared" ref="Q41:Q43" si="24">SUM(N41:P41)+G41</f>
        <v>857.19999999999993</v>
      </c>
      <c r="R41" s="190">
        <f t="shared" si="19"/>
        <v>6143.6</v>
      </c>
      <c r="S41" s="170">
        <v>433.09500000000003</v>
      </c>
      <c r="T41" s="128"/>
      <c r="U41" s="157"/>
      <c r="V41" s="129">
        <f t="shared" ref="V41:V43" si="25">SUM(S41:U41)</f>
        <v>433.09500000000003</v>
      </c>
      <c r="X41" s="169"/>
    </row>
    <row r="42" spans="2:24" ht="21" x14ac:dyDescent="0.35">
      <c r="B42" s="158" t="s">
        <v>151</v>
      </c>
      <c r="C42" s="30" t="s">
        <v>172</v>
      </c>
      <c r="D42" s="158" t="s">
        <v>109</v>
      </c>
      <c r="E42" s="103">
        <v>7000.8</v>
      </c>
      <c r="F42" s="126">
        <v>15</v>
      </c>
      <c r="G42" s="141"/>
      <c r="H42" s="103"/>
      <c r="I42" s="144"/>
      <c r="J42" s="103"/>
      <c r="K42" s="103">
        <f t="shared" si="17"/>
        <v>7000.8</v>
      </c>
      <c r="L42" s="103">
        <v>0</v>
      </c>
      <c r="M42" s="103"/>
      <c r="N42" s="103">
        <v>857.15</v>
      </c>
      <c r="O42" s="103">
        <v>0.05</v>
      </c>
      <c r="P42" s="141"/>
      <c r="Q42" s="103">
        <f t="shared" si="24"/>
        <v>857.19999999999993</v>
      </c>
      <c r="R42" s="190">
        <f t="shared" si="19"/>
        <v>6143.6</v>
      </c>
      <c r="S42" s="170">
        <v>433.09500000000003</v>
      </c>
      <c r="T42" s="128"/>
      <c r="U42" s="157"/>
      <c r="V42" s="129">
        <f t="shared" si="25"/>
        <v>433.09500000000003</v>
      </c>
      <c r="X42" s="169"/>
    </row>
    <row r="43" spans="2:24" ht="21" x14ac:dyDescent="0.35">
      <c r="B43" s="158" t="s">
        <v>152</v>
      </c>
      <c r="C43" s="30" t="s">
        <v>173</v>
      </c>
      <c r="D43" s="158" t="s">
        <v>109</v>
      </c>
      <c r="E43" s="103">
        <v>7000.8</v>
      </c>
      <c r="F43" s="126">
        <v>15</v>
      </c>
      <c r="G43" s="141"/>
      <c r="H43" s="103"/>
      <c r="I43" s="144"/>
      <c r="J43" s="103"/>
      <c r="K43" s="103">
        <f t="shared" si="17"/>
        <v>7000.8</v>
      </c>
      <c r="L43" s="103">
        <v>0</v>
      </c>
      <c r="M43" s="103"/>
      <c r="N43" s="103">
        <v>857.15</v>
      </c>
      <c r="O43" s="103">
        <v>0.05</v>
      </c>
      <c r="P43" s="141"/>
      <c r="Q43" s="103">
        <f t="shared" si="24"/>
        <v>857.19999999999993</v>
      </c>
      <c r="R43" s="190">
        <f t="shared" si="19"/>
        <v>6143.6</v>
      </c>
      <c r="S43" s="170">
        <v>433.09500000000003</v>
      </c>
      <c r="T43" s="128"/>
      <c r="U43" s="157"/>
      <c r="V43" s="129">
        <f t="shared" si="25"/>
        <v>433.09500000000003</v>
      </c>
      <c r="X43" s="169"/>
    </row>
    <row r="44" spans="2:24" ht="18.75" x14ac:dyDescent="0.3">
      <c r="B44" s="138" t="s">
        <v>20</v>
      </c>
      <c r="C44" s="132"/>
      <c r="D44" s="133"/>
      <c r="E44" s="135">
        <f t="shared" ref="E44:Q44" si="26">SUM(E30:E43)</f>
        <v>98454.200000000026</v>
      </c>
      <c r="F44" s="135">
        <f t="shared" si="26"/>
        <v>210</v>
      </c>
      <c r="G44" s="135">
        <f t="shared" si="26"/>
        <v>6578</v>
      </c>
      <c r="H44" s="135">
        <f t="shared" si="26"/>
        <v>0</v>
      </c>
      <c r="I44" s="135">
        <f t="shared" si="26"/>
        <v>0</v>
      </c>
      <c r="J44" s="135">
        <f t="shared" si="26"/>
        <v>0</v>
      </c>
      <c r="K44" s="135">
        <f t="shared" si="26"/>
        <v>98454.200000000026</v>
      </c>
      <c r="L44" s="135">
        <f t="shared" si="26"/>
        <v>0</v>
      </c>
      <c r="M44" s="135">
        <f t="shared" si="26"/>
        <v>0</v>
      </c>
      <c r="N44" s="135">
        <f t="shared" si="26"/>
        <v>12094.729999999998</v>
      </c>
      <c r="O44" s="135">
        <f t="shared" si="26"/>
        <v>0.13000000000000006</v>
      </c>
      <c r="P44" s="135">
        <f t="shared" si="26"/>
        <v>8906.94</v>
      </c>
      <c r="Q44" s="135">
        <f t="shared" si="26"/>
        <v>27579.800000000007</v>
      </c>
      <c r="R44" s="135">
        <f>ROUND(SUM(R30:R43),1)</f>
        <v>70874.399999999994</v>
      </c>
      <c r="S44" s="135">
        <f>SUM(S30:S43)</f>
        <v>6076.9550000000017</v>
      </c>
      <c r="T44" s="135">
        <f>SUM(T30:T43)</f>
        <v>15877.58</v>
      </c>
      <c r="U44" s="135">
        <f>SUM(U30:U43)</f>
        <v>1549.08</v>
      </c>
      <c r="V44" s="135">
        <f>SUM(V30:V43)</f>
        <v>23503.615000000005</v>
      </c>
      <c r="X44" s="169"/>
    </row>
    <row r="45" spans="2:24" ht="18.75" hidden="1" x14ac:dyDescent="0.3">
      <c r="C45" s="136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37"/>
      <c r="X45" s="169"/>
    </row>
    <row r="46" spans="2:24" ht="18.75" x14ac:dyDescent="0.3">
      <c r="B46" s="138" t="s">
        <v>78</v>
      </c>
      <c r="C46" s="31" t="s">
        <v>34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37"/>
      <c r="X46" s="169"/>
    </row>
    <row r="47" spans="2:24" ht="21" x14ac:dyDescent="0.35">
      <c r="B47" s="102" t="s">
        <v>69</v>
      </c>
      <c r="C47" s="125" t="s">
        <v>55</v>
      </c>
      <c r="D47" s="102" t="s">
        <v>130</v>
      </c>
      <c r="E47" s="103">
        <v>7443.8</v>
      </c>
      <c r="F47" s="126">
        <v>15</v>
      </c>
      <c r="G47" s="137"/>
      <c r="H47" s="103"/>
      <c r="I47" s="144"/>
      <c r="J47" s="141"/>
      <c r="K47" s="141">
        <f t="shared" ref="K47" si="27">E47-I47</f>
        <v>7443.8</v>
      </c>
      <c r="L47" s="141"/>
      <c r="M47" s="103"/>
      <c r="N47" s="103">
        <v>951.78</v>
      </c>
      <c r="O47" s="103">
        <v>-0.02</v>
      </c>
      <c r="P47" s="156">
        <f t="shared" ref="P47:P49" si="28">ROUND(E47*0.115,2)</f>
        <v>856.04</v>
      </c>
      <c r="Q47" s="103">
        <f t="shared" ref="Q47" si="29">SUM(N47:P47)+G47</f>
        <v>1807.8</v>
      </c>
      <c r="R47" s="190">
        <f t="shared" ref="R47" si="30">K47-Q47</f>
        <v>5636</v>
      </c>
      <c r="S47" s="170">
        <v>446.71999999999991</v>
      </c>
      <c r="T47" s="128">
        <f t="shared" ref="T47:T49" si="31">ROUND(+E47*17.5%,2)+ROUND(E47*3%,2)</f>
        <v>1525.98</v>
      </c>
      <c r="U47" s="157">
        <f t="shared" ref="U47:U49" si="32">ROUND(+E47*2%,2)</f>
        <v>148.88</v>
      </c>
      <c r="V47" s="129">
        <f t="shared" ref="V47:V52" si="33">SUM(S47:U47)</f>
        <v>2121.58</v>
      </c>
      <c r="X47" s="169"/>
    </row>
    <row r="48" spans="2:24" ht="21" x14ac:dyDescent="0.35">
      <c r="B48" s="102" t="s">
        <v>81</v>
      </c>
      <c r="C48" s="125" t="s">
        <v>44</v>
      </c>
      <c r="D48" s="102" t="s">
        <v>128</v>
      </c>
      <c r="E48" s="103">
        <v>7000.8</v>
      </c>
      <c r="F48" s="126">
        <v>15</v>
      </c>
      <c r="G48" s="127">
        <v>1171.28</v>
      </c>
      <c r="H48" s="103"/>
      <c r="I48" s="144"/>
      <c r="J48" s="103"/>
      <c r="K48" s="103">
        <f>E48-I48</f>
        <v>7000.8</v>
      </c>
      <c r="L48" s="103"/>
      <c r="M48" s="103"/>
      <c r="N48" s="103">
        <v>857.15</v>
      </c>
      <c r="O48" s="103">
        <v>-0.12</v>
      </c>
      <c r="P48" s="156">
        <f t="shared" si="28"/>
        <v>805.09</v>
      </c>
      <c r="Q48" s="103">
        <f>SUM(N48:P48)+G48</f>
        <v>2833.3999999999996</v>
      </c>
      <c r="R48" s="190">
        <f>K48-Q48</f>
        <v>4167.4000000000005</v>
      </c>
      <c r="S48" s="170">
        <v>433.09500000000003</v>
      </c>
      <c r="T48" s="128">
        <f t="shared" si="31"/>
        <v>1435.16</v>
      </c>
      <c r="U48" s="157">
        <f t="shared" si="32"/>
        <v>140.02000000000001</v>
      </c>
      <c r="V48" s="129">
        <f t="shared" si="33"/>
        <v>2008.2750000000001</v>
      </c>
      <c r="X48" s="169"/>
    </row>
    <row r="49" spans="1:24" ht="21" x14ac:dyDescent="0.35">
      <c r="B49" s="102" t="s">
        <v>107</v>
      </c>
      <c r="C49" s="125" t="s">
        <v>108</v>
      </c>
      <c r="D49" s="102" t="s">
        <v>109</v>
      </c>
      <c r="E49" s="103">
        <v>7000.8</v>
      </c>
      <c r="F49" s="126">
        <v>15</v>
      </c>
      <c r="G49" s="103"/>
      <c r="H49" s="103"/>
      <c r="I49" s="144"/>
      <c r="J49" s="103"/>
      <c r="K49" s="103">
        <f>E49-I49</f>
        <v>7000.8</v>
      </c>
      <c r="L49" s="103"/>
      <c r="M49" s="103"/>
      <c r="N49" s="103">
        <v>857.15</v>
      </c>
      <c r="O49" s="103">
        <v>-0.04</v>
      </c>
      <c r="P49" s="156">
        <f t="shared" si="28"/>
        <v>805.09</v>
      </c>
      <c r="Q49" s="103">
        <f>SUM(N49:P49)+G49</f>
        <v>1662.2</v>
      </c>
      <c r="R49" s="190">
        <f>K49-Q49</f>
        <v>5338.6</v>
      </c>
      <c r="S49" s="170">
        <v>433.09500000000003</v>
      </c>
      <c r="T49" s="128">
        <f t="shared" si="31"/>
        <v>1435.16</v>
      </c>
      <c r="U49" s="157">
        <f t="shared" si="32"/>
        <v>140.02000000000001</v>
      </c>
      <c r="V49" s="129">
        <f t="shared" si="33"/>
        <v>2008.2750000000001</v>
      </c>
      <c r="X49" s="169"/>
    </row>
    <row r="50" spans="1:24" ht="31.5" x14ac:dyDescent="0.35">
      <c r="A50" s="102" t="s">
        <v>179</v>
      </c>
      <c r="B50" s="158" t="s">
        <v>156</v>
      </c>
      <c r="C50" s="30" t="s">
        <v>183</v>
      </c>
      <c r="D50" s="198" t="s">
        <v>160</v>
      </c>
      <c r="E50" s="103">
        <v>6791.5</v>
      </c>
      <c r="F50" s="126">
        <v>15</v>
      </c>
      <c r="G50" s="141"/>
      <c r="H50" s="103"/>
      <c r="I50" s="144"/>
      <c r="J50" s="103"/>
      <c r="K50" s="103">
        <f t="shared" ref="K50" si="34">E50-I50</f>
        <v>6791.5</v>
      </c>
      <c r="L50" s="103"/>
      <c r="M50" s="103"/>
      <c r="N50" s="103">
        <v>812.45</v>
      </c>
      <c r="O50" s="103">
        <v>0.05</v>
      </c>
      <c r="P50" s="156"/>
      <c r="Q50" s="103">
        <f t="shared" ref="Q50" si="35">SUM(N50:P50)+G50</f>
        <v>812.5</v>
      </c>
      <c r="R50" s="190">
        <f t="shared" ref="R50" si="36">K50-Q50</f>
        <v>5979</v>
      </c>
      <c r="S50" s="170">
        <v>426.65999999999997</v>
      </c>
      <c r="T50" s="128"/>
      <c r="U50" s="157"/>
      <c r="V50" s="129">
        <f t="shared" ref="V50" si="37">SUM(S50:U50)</f>
        <v>426.65999999999997</v>
      </c>
      <c r="X50" s="169"/>
    </row>
    <row r="51" spans="1:24" ht="31.5" x14ac:dyDescent="0.35">
      <c r="B51" s="158" t="s">
        <v>157</v>
      </c>
      <c r="C51" s="30" t="s">
        <v>168</v>
      </c>
      <c r="D51" s="198" t="s">
        <v>160</v>
      </c>
      <c r="E51" s="103">
        <v>6791.5</v>
      </c>
      <c r="F51" s="126">
        <v>15</v>
      </c>
      <c r="G51" s="141"/>
      <c r="H51" s="103"/>
      <c r="I51" s="144"/>
      <c r="J51" s="103"/>
      <c r="K51" s="103">
        <f t="shared" ref="K51:K52" si="38">E51-I51</f>
        <v>6791.5</v>
      </c>
      <c r="L51" s="103"/>
      <c r="M51" s="103"/>
      <c r="N51" s="103">
        <v>812.45</v>
      </c>
      <c r="O51" s="103">
        <v>0.05</v>
      </c>
      <c r="P51" s="156"/>
      <c r="Q51" s="103">
        <f t="shared" ref="Q51:Q52" si="39">SUM(N51:P51)+G51</f>
        <v>812.5</v>
      </c>
      <c r="R51" s="190">
        <f t="shared" ref="R51" si="40">K51-Q51</f>
        <v>5979</v>
      </c>
      <c r="S51" s="170">
        <v>426.65999999999997</v>
      </c>
      <c r="T51" s="128"/>
      <c r="U51" s="157"/>
      <c r="V51" s="129">
        <f t="shared" si="33"/>
        <v>426.65999999999997</v>
      </c>
      <c r="X51" s="169"/>
    </row>
    <row r="52" spans="1:24" ht="31.5" x14ac:dyDescent="0.35">
      <c r="B52" s="158" t="s">
        <v>158</v>
      </c>
      <c r="C52" s="30" t="s">
        <v>169</v>
      </c>
      <c r="D52" s="198" t="s">
        <v>160</v>
      </c>
      <c r="E52" s="103">
        <v>6791.5</v>
      </c>
      <c r="F52" s="126">
        <v>15</v>
      </c>
      <c r="G52" s="103"/>
      <c r="H52" s="103"/>
      <c r="I52" s="103"/>
      <c r="J52" s="103"/>
      <c r="K52" s="103">
        <f t="shared" si="38"/>
        <v>6791.5</v>
      </c>
      <c r="L52" s="103"/>
      <c r="M52" s="103"/>
      <c r="N52" s="103">
        <v>812.45</v>
      </c>
      <c r="O52" s="103">
        <v>0.05</v>
      </c>
      <c r="P52" s="156"/>
      <c r="Q52" s="103">
        <f t="shared" si="39"/>
        <v>812.5</v>
      </c>
      <c r="R52" s="190">
        <f>K52-Q52</f>
        <v>5979</v>
      </c>
      <c r="S52" s="170">
        <v>426.65999999999997</v>
      </c>
      <c r="T52" s="128"/>
      <c r="U52" s="157"/>
      <c r="V52" s="129">
        <f t="shared" si="33"/>
        <v>426.65999999999997</v>
      </c>
      <c r="X52" s="169"/>
    </row>
    <row r="53" spans="1:24" ht="18.75" x14ac:dyDescent="0.3">
      <c r="B53" s="138" t="s">
        <v>20</v>
      </c>
      <c r="C53" s="132"/>
      <c r="D53" s="133"/>
      <c r="E53" s="135">
        <f>SUM(E47:E52)</f>
        <v>41819.9</v>
      </c>
      <c r="F53" s="135"/>
      <c r="G53" s="135">
        <f t="shared" ref="G53:Q53" si="41">SUM(G47:G52)</f>
        <v>1171.28</v>
      </c>
      <c r="H53" s="135">
        <f t="shared" si="41"/>
        <v>0</v>
      </c>
      <c r="I53" s="135">
        <f t="shared" si="41"/>
        <v>0</v>
      </c>
      <c r="J53" s="135">
        <f t="shared" si="41"/>
        <v>0</v>
      </c>
      <c r="K53" s="135">
        <f t="shared" si="41"/>
        <v>41819.9</v>
      </c>
      <c r="L53" s="135">
        <f t="shared" si="41"/>
        <v>0</v>
      </c>
      <c r="M53" s="135">
        <f t="shared" si="41"/>
        <v>0</v>
      </c>
      <c r="N53" s="135">
        <f t="shared" si="41"/>
        <v>5103.4299999999994</v>
      </c>
      <c r="O53" s="135">
        <f t="shared" si="41"/>
        <v>-0.03</v>
      </c>
      <c r="P53" s="135">
        <f t="shared" si="41"/>
        <v>2466.2200000000003</v>
      </c>
      <c r="Q53" s="135">
        <f t="shared" si="41"/>
        <v>8740.9</v>
      </c>
      <c r="R53" s="135">
        <f>ROUND(SUM(R47:R52),1)</f>
        <v>33079</v>
      </c>
      <c r="S53" s="135">
        <f>SUM(S47:S52)</f>
        <v>2592.8899999999994</v>
      </c>
      <c r="T53" s="135">
        <f>SUM(T47:T52)</f>
        <v>4396.3</v>
      </c>
      <c r="U53" s="135">
        <f>SUM(U47:U52)</f>
        <v>428.91999999999996</v>
      </c>
      <c r="V53" s="135">
        <f>SUM(V47:V52)</f>
        <v>7418.1099999999988</v>
      </c>
      <c r="X53" s="169"/>
    </row>
    <row r="54" spans="1:24" ht="18.75" hidden="1" x14ac:dyDescent="0.3">
      <c r="B54" s="138"/>
      <c r="C54" s="136"/>
      <c r="E54" s="103"/>
      <c r="F54" s="103"/>
      <c r="G54" s="103"/>
      <c r="H54" s="103"/>
      <c r="I54" s="103"/>
      <c r="J54" s="103"/>
      <c r="K54" s="146"/>
      <c r="L54" s="146"/>
      <c r="M54" s="146"/>
      <c r="N54" s="146"/>
      <c r="O54" s="146"/>
      <c r="P54" s="146"/>
      <c r="Q54" s="146"/>
      <c r="R54" s="147"/>
      <c r="S54" s="148"/>
      <c r="T54" s="148"/>
      <c r="U54" s="148"/>
      <c r="V54" s="148"/>
      <c r="X54" s="169"/>
    </row>
    <row r="55" spans="1:24" ht="18.75" x14ac:dyDescent="0.3">
      <c r="B55" s="138" t="s">
        <v>84</v>
      </c>
      <c r="C55" s="31" t="s">
        <v>85</v>
      </c>
      <c r="E55" s="103"/>
      <c r="F55" s="103"/>
      <c r="G55" s="103"/>
      <c r="H55" s="103"/>
      <c r="I55" s="103"/>
      <c r="J55" s="103"/>
      <c r="K55" s="146"/>
      <c r="L55" s="146"/>
      <c r="M55" s="146"/>
      <c r="N55" s="146"/>
      <c r="O55" s="146"/>
      <c r="P55" s="146"/>
      <c r="Q55" s="146"/>
      <c r="R55" s="147"/>
      <c r="S55" s="148"/>
      <c r="T55" s="148"/>
      <c r="U55" s="148"/>
      <c r="V55" s="148"/>
      <c r="X55" s="169"/>
    </row>
    <row r="56" spans="1:24" ht="21" x14ac:dyDescent="0.35">
      <c r="B56" s="102" t="s">
        <v>86</v>
      </c>
      <c r="C56" s="125" t="s">
        <v>30</v>
      </c>
      <c r="D56" s="102" t="s">
        <v>114</v>
      </c>
      <c r="E56" s="103">
        <v>13000</v>
      </c>
      <c r="F56" s="126">
        <v>15</v>
      </c>
      <c r="G56" s="127">
        <v>6228.07</v>
      </c>
      <c r="H56" s="103"/>
      <c r="I56" s="103"/>
      <c r="J56" s="103"/>
      <c r="K56" s="103">
        <f>E56-I56</f>
        <v>13000</v>
      </c>
      <c r="L56" s="103">
        <v>0</v>
      </c>
      <c r="M56" s="103"/>
      <c r="N56" s="103">
        <v>2161.23</v>
      </c>
      <c r="O56" s="103">
        <v>0.1</v>
      </c>
      <c r="P56" s="156">
        <f>ROUND(E56*0.115,2)</f>
        <v>1495</v>
      </c>
      <c r="Q56" s="103">
        <f>SUM(N56:P56)+G56</f>
        <v>9884.4</v>
      </c>
      <c r="R56" s="190">
        <f>K56-Q56</f>
        <v>3115.6000000000004</v>
      </c>
      <c r="S56" s="29">
        <v>617.625</v>
      </c>
      <c r="T56" s="128">
        <f t="shared" ref="T56" si="42">ROUND(+E56*17.5%,2)+ROUND(E56*3%,2)</f>
        <v>2665</v>
      </c>
      <c r="U56" s="157">
        <f>ROUND(+E56*2%,2)</f>
        <v>260</v>
      </c>
      <c r="V56" s="129">
        <f t="shared" ref="V56" si="43">SUM(S56:U56)</f>
        <v>3542.625</v>
      </c>
      <c r="X56" s="169"/>
    </row>
    <row r="57" spans="1:24" ht="18.75" x14ac:dyDescent="0.3">
      <c r="B57" s="138" t="s">
        <v>20</v>
      </c>
      <c r="E57" s="135">
        <f>E56</f>
        <v>13000</v>
      </c>
      <c r="F57" s="135"/>
      <c r="G57" s="135">
        <f>+G56</f>
        <v>6228.07</v>
      </c>
      <c r="H57" s="135"/>
      <c r="I57" s="135">
        <f>I56</f>
        <v>0</v>
      </c>
      <c r="J57" s="135">
        <f>J56</f>
        <v>0</v>
      </c>
      <c r="K57" s="135">
        <f>K56</f>
        <v>13000</v>
      </c>
      <c r="L57" s="135">
        <f t="shared" ref="L57:V57" si="44">L56</f>
        <v>0</v>
      </c>
      <c r="M57" s="135">
        <f t="shared" si="44"/>
        <v>0</v>
      </c>
      <c r="N57" s="135">
        <f>N56</f>
        <v>2161.23</v>
      </c>
      <c r="O57" s="135">
        <f t="shared" si="44"/>
        <v>0.1</v>
      </c>
      <c r="P57" s="135">
        <f>P56</f>
        <v>1495</v>
      </c>
      <c r="Q57" s="135">
        <f t="shared" si="44"/>
        <v>9884.4</v>
      </c>
      <c r="R57" s="135">
        <f>ROUND(R56,1)</f>
        <v>3115.6</v>
      </c>
      <c r="S57" s="135">
        <f>S56</f>
        <v>617.625</v>
      </c>
      <c r="T57" s="135">
        <f t="shared" si="44"/>
        <v>2665</v>
      </c>
      <c r="U57" s="135">
        <f>U56</f>
        <v>260</v>
      </c>
      <c r="V57" s="135">
        <f t="shared" si="44"/>
        <v>3542.625</v>
      </c>
      <c r="X57" s="169"/>
    </row>
    <row r="58" spans="1:24" ht="12" customHeight="1" x14ac:dyDescent="0.3">
      <c r="B58" s="138"/>
      <c r="E58" s="103"/>
      <c r="F58" s="103"/>
      <c r="G58" s="103"/>
      <c r="H58" s="103"/>
      <c r="I58" s="103"/>
      <c r="J58" s="103"/>
      <c r="K58" s="146"/>
      <c r="L58" s="146"/>
      <c r="M58" s="146"/>
      <c r="N58" s="146"/>
      <c r="O58" s="146"/>
      <c r="P58" s="146"/>
      <c r="Q58" s="146"/>
      <c r="R58" s="147"/>
      <c r="S58" s="148"/>
      <c r="T58" s="148"/>
      <c r="U58" s="148"/>
      <c r="V58" s="148"/>
    </row>
    <row r="59" spans="1:24" ht="18.75" hidden="1" x14ac:dyDescent="0.3">
      <c r="R59" s="149"/>
    </row>
    <row r="60" spans="1:24" ht="18.75" x14ac:dyDescent="0.3">
      <c r="C60" s="150" t="s">
        <v>56</v>
      </c>
      <c r="E60" s="151">
        <f>E9+E20+E27+E44+E53+E57</f>
        <v>260544.66</v>
      </c>
      <c r="F60" s="151"/>
      <c r="G60" s="152">
        <f>G9+G20+G27+G44+G53+G57</f>
        <v>24588.93</v>
      </c>
      <c r="H60" s="151"/>
      <c r="I60" s="151">
        <f t="shared" ref="I60:Q60" si="45">I9+I20+I27+I44+I53+I57</f>
        <v>0</v>
      </c>
      <c r="J60" s="151">
        <f t="shared" si="45"/>
        <v>0</v>
      </c>
      <c r="K60" s="151">
        <f t="shared" si="45"/>
        <v>260544.66</v>
      </c>
      <c r="L60" s="151">
        <f t="shared" si="45"/>
        <v>0</v>
      </c>
      <c r="M60" s="151">
        <f t="shared" si="45"/>
        <v>0</v>
      </c>
      <c r="N60" s="151">
        <f t="shared" si="45"/>
        <v>33733.659999999996</v>
      </c>
      <c r="O60" s="151">
        <f t="shared" si="45"/>
        <v>-0.1699999999999999</v>
      </c>
      <c r="P60" s="152">
        <f t="shared" si="45"/>
        <v>25204.260000000002</v>
      </c>
      <c r="Q60" s="151">
        <f t="shared" si="45"/>
        <v>83526.679999999993</v>
      </c>
      <c r="R60" s="153">
        <f>ROUND(+R9+R20+R27+R44+R53+R57,1)</f>
        <v>177018</v>
      </c>
      <c r="S60" s="151">
        <f>S9+S20+S27+S44+S53+S57</f>
        <v>15633.705000000002</v>
      </c>
      <c r="T60" s="151">
        <f>T57+T53+T44+T27+T20+T9</f>
        <v>44929.312474999999</v>
      </c>
      <c r="U60" s="152">
        <f>U9+U20+U27+U44+U53+U57</f>
        <v>4383.45</v>
      </c>
      <c r="V60" s="154">
        <f>V9+V20+V27+V44+V53+V57</f>
        <v>64946.467475000005</v>
      </c>
    </row>
    <row r="61" spans="1:24" ht="18.75" x14ac:dyDescent="0.3">
      <c r="S61" s="151"/>
      <c r="T61" s="151"/>
    </row>
    <row r="62" spans="1:24" x14ac:dyDescent="0.25">
      <c r="T62" s="103"/>
      <c r="X62" s="169"/>
    </row>
    <row r="64" spans="1:24" x14ac:dyDescent="0.25">
      <c r="I64" s="169"/>
    </row>
    <row r="69" spans="3:20" ht="16.5" thickBot="1" x14ac:dyDescent="0.3">
      <c r="E69" s="293"/>
      <c r="F69" s="293"/>
      <c r="G69" s="230"/>
      <c r="H69" s="230"/>
      <c r="P69" s="294"/>
      <c r="Q69" s="294"/>
    </row>
    <row r="70" spans="3:20" ht="15" x14ac:dyDescent="0.25">
      <c r="E70" s="295" t="s">
        <v>91</v>
      </c>
      <c r="F70" s="295"/>
      <c r="G70" s="231"/>
      <c r="H70" s="231"/>
      <c r="P70" s="155"/>
      <c r="Q70" s="155"/>
      <c r="R70" s="296" t="s">
        <v>82</v>
      </c>
      <c r="S70" s="296"/>
      <c r="T70" s="230"/>
    </row>
    <row r="74" spans="3:20" x14ac:dyDescent="0.25">
      <c r="C74" s="102" t="s">
        <v>90</v>
      </c>
    </row>
  </sheetData>
  <mergeCells count="5">
    <mergeCell ref="B4:V4"/>
    <mergeCell ref="E69:F69"/>
    <mergeCell ref="P69:Q69"/>
    <mergeCell ref="E70:F70"/>
    <mergeCell ref="R70:S70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C4B6A-8286-4CDC-B258-82216B6A3562}">
  <sheetPr>
    <pageSetUpPr fitToPage="1"/>
  </sheetPr>
  <dimension ref="A3:X74"/>
  <sheetViews>
    <sheetView topLeftCell="A26" zoomScale="85" zoomScaleNormal="85" workbookViewId="0">
      <selection activeCell="T32" sqref="T32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5.85546875" style="102" bestFit="1" customWidth="1"/>
    <col min="8" max="8" width="14.140625" style="102" hidden="1" customWidth="1"/>
    <col min="9" max="9" width="13.28515625" style="102" customWidth="1"/>
    <col min="10" max="10" width="13.28515625" style="102" hidden="1" customWidth="1"/>
    <col min="11" max="11" width="15.85546875" style="102" bestFit="1" customWidth="1"/>
    <col min="12" max="12" width="9.42578125" style="102" hidden="1" customWidth="1"/>
    <col min="13" max="13" width="14.42578125" style="102" hidden="1" customWidth="1"/>
    <col min="14" max="14" width="15.85546875" style="102" bestFit="1" customWidth="1"/>
    <col min="15" max="15" width="11.140625" style="102" bestFit="1" customWidth="1"/>
    <col min="16" max="16" width="14.42578125" style="102" bestFit="1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4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4" ht="16.5" customHeight="1" x14ac:dyDescent="0.25">
      <c r="B4" s="291" t="s">
        <v>186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4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2" t="s">
        <v>148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4" x14ac:dyDescent="0.25">
      <c r="B6" s="121" t="s">
        <v>13</v>
      </c>
      <c r="C6" s="5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4" ht="21" x14ac:dyDescent="0.35">
      <c r="B7" s="102" t="s">
        <v>15</v>
      </c>
      <c r="C7" s="125" t="s">
        <v>16</v>
      </c>
      <c r="D7" s="102" t="s">
        <v>19</v>
      </c>
      <c r="E7" s="103">
        <v>19461.365000000002</v>
      </c>
      <c r="F7" s="126">
        <v>15</v>
      </c>
      <c r="G7" s="141"/>
      <c r="H7" s="103"/>
      <c r="I7" s="103"/>
      <c r="J7" s="103"/>
      <c r="K7" s="103">
        <f>E7-I7</f>
        <v>19461.365000000002</v>
      </c>
      <c r="L7" s="103">
        <v>0</v>
      </c>
      <c r="M7" s="103"/>
      <c r="N7" s="103">
        <v>3721.35</v>
      </c>
      <c r="O7" s="103">
        <v>-0.04</v>
      </c>
      <c r="P7" s="156">
        <f>ROUND(E7*0.115,2)</f>
        <v>2238.06</v>
      </c>
      <c r="Q7" s="103">
        <f>SUM(N7:P7)+G7</f>
        <v>5959.37</v>
      </c>
      <c r="R7" s="208">
        <f>K7-Q7</f>
        <v>13501.995000000003</v>
      </c>
      <c r="S7" s="29">
        <v>790.02500000000009</v>
      </c>
      <c r="T7" s="128">
        <f>+E7*17.5%+E7*3%</f>
        <v>3989.5798249999998</v>
      </c>
      <c r="U7" s="157">
        <f>ROUND(+E7*2%,2)</f>
        <v>389.23</v>
      </c>
      <c r="V7" s="129">
        <f>SUM(S7:U7)</f>
        <v>5168.8348249999999</v>
      </c>
      <c r="X7" s="169"/>
    </row>
    <row r="8" spans="2:24" ht="21" x14ac:dyDescent="0.35">
      <c r="B8" s="102" t="s">
        <v>17</v>
      </c>
      <c r="C8" s="125" t="s">
        <v>18</v>
      </c>
      <c r="D8" s="102" t="s">
        <v>2</v>
      </c>
      <c r="E8" s="103">
        <v>6247.33</v>
      </c>
      <c r="F8" s="126">
        <v>15</v>
      </c>
      <c r="G8" s="178">
        <v>1000</v>
      </c>
      <c r="H8" s="103"/>
      <c r="I8" s="130"/>
      <c r="J8" s="103"/>
      <c r="K8" s="103">
        <f>E8-I8</f>
        <v>6247.33</v>
      </c>
      <c r="L8" s="103">
        <v>0</v>
      </c>
      <c r="M8" s="103"/>
      <c r="N8" s="103">
        <v>696.21</v>
      </c>
      <c r="O8" s="103">
        <v>0.08</v>
      </c>
      <c r="P8" s="156">
        <f>ROUND(E8*0.115,2)</f>
        <v>718.44</v>
      </c>
      <c r="Q8" s="103">
        <f>SUM(N8:P8)+G8</f>
        <v>2414.73</v>
      </c>
      <c r="R8" s="208">
        <f>K8-Q8</f>
        <v>3832.6</v>
      </c>
      <c r="S8" s="29">
        <v>396.69499999999999</v>
      </c>
      <c r="T8" s="128">
        <f>+E8*17.5%+E8*3%</f>
        <v>1280.7026499999997</v>
      </c>
      <c r="U8" s="157">
        <f>ROUND(+E8*2%,2)</f>
        <v>124.95</v>
      </c>
      <c r="V8" s="129">
        <f>SUM(S8:U8)</f>
        <v>1802.3476499999997</v>
      </c>
      <c r="X8" s="169"/>
    </row>
    <row r="9" spans="2:24" ht="18.75" x14ac:dyDescent="0.3">
      <c r="B9" s="131" t="s">
        <v>20</v>
      </c>
      <c r="C9" s="132"/>
      <c r="D9" s="133"/>
      <c r="E9" s="135">
        <f>SUM(E7:E8)</f>
        <v>25708.695</v>
      </c>
      <c r="F9" s="135"/>
      <c r="G9" s="135">
        <f>+G8+G7</f>
        <v>1000</v>
      </c>
      <c r="H9" s="135"/>
      <c r="I9" s="135">
        <f t="shared" ref="I9:V9" si="0">SUM(I7:I8)</f>
        <v>0</v>
      </c>
      <c r="J9" s="135">
        <f t="shared" si="0"/>
        <v>0</v>
      </c>
      <c r="K9" s="135">
        <f>SUM(K7:K8)</f>
        <v>25708.695</v>
      </c>
      <c r="L9" s="135">
        <f t="shared" si="0"/>
        <v>0</v>
      </c>
      <c r="M9" s="135">
        <f>SUM(M7:M8)</f>
        <v>0</v>
      </c>
      <c r="N9" s="135">
        <f>SUM(N7:N8)</f>
        <v>4417.5599999999995</v>
      </c>
      <c r="O9" s="135">
        <f t="shared" si="0"/>
        <v>0.04</v>
      </c>
      <c r="P9" s="135">
        <f>SUM(P7:P8)</f>
        <v>2956.5</v>
      </c>
      <c r="Q9" s="135">
        <f t="shared" si="0"/>
        <v>8374.1</v>
      </c>
      <c r="R9" s="135">
        <f>ROUND(SUM(R7:R8),1)</f>
        <v>17334.599999999999</v>
      </c>
      <c r="S9" s="135">
        <f>SUM(S7:S8)</f>
        <v>1186.72</v>
      </c>
      <c r="T9" s="135">
        <f t="shared" si="0"/>
        <v>5270.282475</v>
      </c>
      <c r="U9" s="135">
        <f>SUM(U7:U8)</f>
        <v>514.18000000000006</v>
      </c>
      <c r="V9" s="135">
        <f t="shared" si="0"/>
        <v>6971.1824749999996</v>
      </c>
      <c r="X9" s="169"/>
    </row>
    <row r="10" spans="2:24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4" ht="18.75" x14ac:dyDescent="0.3">
      <c r="B11" s="138" t="s">
        <v>21</v>
      </c>
      <c r="C11" s="31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4" ht="21" hidden="1" x14ac:dyDescent="0.35">
      <c r="B12" s="102" t="s">
        <v>23</v>
      </c>
      <c r="C12" s="125"/>
      <c r="D12" s="102" t="s">
        <v>114</v>
      </c>
      <c r="E12" s="103"/>
      <c r="F12" s="126"/>
      <c r="G12" s="141"/>
      <c r="H12" s="103"/>
      <c r="I12" s="103"/>
      <c r="J12" s="103"/>
      <c r="K12" s="103">
        <f t="shared" ref="K12:K18" si="1">E12-I12</f>
        <v>0</v>
      </c>
      <c r="L12" s="103">
        <v>0</v>
      </c>
      <c r="M12" s="103"/>
      <c r="N12" s="103"/>
      <c r="O12" s="103"/>
      <c r="P12" s="156"/>
      <c r="Q12" s="103">
        <f t="shared" ref="Q12:Q19" si="2">SUM(N12:P12)+G12</f>
        <v>0</v>
      </c>
      <c r="R12" s="190">
        <f t="shared" ref="R12:R19" si="3">K12-Q12</f>
        <v>0</v>
      </c>
      <c r="S12" s="29"/>
      <c r="T12" s="128">
        <f>ROUND(+E12*17.5%,2)+ROUND(E12*3%,2)</f>
        <v>0</v>
      </c>
      <c r="U12" s="157">
        <f t="shared" ref="U12:U19" si="4">ROUND(+E12*2%,2)</f>
        <v>0</v>
      </c>
      <c r="V12" s="129">
        <f t="shared" ref="V12:V19" si="5">SUM(S12:U12)</f>
        <v>0</v>
      </c>
      <c r="X12" s="169"/>
    </row>
    <row r="13" spans="2:24" ht="21" x14ac:dyDescent="0.35">
      <c r="B13" s="102" t="s">
        <v>24</v>
      </c>
      <c r="C13" s="125" t="s">
        <v>29</v>
      </c>
      <c r="D13" s="102" t="s">
        <v>116</v>
      </c>
      <c r="E13" s="103">
        <v>7000.8</v>
      </c>
      <c r="F13" s="126">
        <v>15</v>
      </c>
      <c r="G13" s="178">
        <v>2129.5700000000002</v>
      </c>
      <c r="H13" s="103"/>
      <c r="I13" s="139"/>
      <c r="J13" s="140"/>
      <c r="K13" s="103">
        <f>E13-I13</f>
        <v>7000.8</v>
      </c>
      <c r="L13" s="103">
        <v>0</v>
      </c>
      <c r="M13" s="103"/>
      <c r="N13" s="103">
        <v>857.15</v>
      </c>
      <c r="O13" s="103">
        <v>-0.01</v>
      </c>
      <c r="P13" s="156">
        <f t="shared" ref="P13:P19" si="6">ROUND(E13*0.115,2)</f>
        <v>805.09</v>
      </c>
      <c r="Q13" s="103">
        <f t="shared" si="2"/>
        <v>3791.8</v>
      </c>
      <c r="R13" s="208">
        <f t="shared" si="3"/>
        <v>3209</v>
      </c>
      <c r="S13" s="29">
        <v>419.125</v>
      </c>
      <c r="T13" s="128">
        <f t="shared" ref="T13:T19" si="7">ROUND(+E13*17.5%,2)+ROUND(E13*3%,2)</f>
        <v>1435.16</v>
      </c>
      <c r="U13" s="157">
        <f t="shared" si="4"/>
        <v>140.02000000000001</v>
      </c>
      <c r="V13" s="129">
        <f t="shared" si="5"/>
        <v>1994.3050000000001</v>
      </c>
      <c r="X13" s="169"/>
    </row>
    <row r="14" spans="2:24" ht="21" x14ac:dyDescent="0.35">
      <c r="B14" s="102" t="s">
        <v>25</v>
      </c>
      <c r="C14" s="30" t="s">
        <v>174</v>
      </c>
      <c r="D14" s="102" t="s">
        <v>115</v>
      </c>
      <c r="E14" s="103">
        <v>7000.8</v>
      </c>
      <c r="F14" s="126">
        <v>15</v>
      </c>
      <c r="G14" s="178">
        <v>1330.99</v>
      </c>
      <c r="H14" s="141"/>
      <c r="I14" s="139"/>
      <c r="J14" s="140"/>
      <c r="K14" s="103">
        <f>E14-I14</f>
        <v>7000.8</v>
      </c>
      <c r="L14" s="103">
        <v>0</v>
      </c>
      <c r="M14" s="103"/>
      <c r="N14" s="103">
        <v>857.15</v>
      </c>
      <c r="O14" s="103">
        <v>-0.03</v>
      </c>
      <c r="P14" s="156">
        <f>ROUND(E14*0.115,2)</f>
        <v>805.09</v>
      </c>
      <c r="Q14" s="103">
        <f>SUM(N14:P14)+G14</f>
        <v>2993.2</v>
      </c>
      <c r="R14" s="208">
        <f>K14-Q14</f>
        <v>4007.6000000000004</v>
      </c>
      <c r="S14" s="29">
        <v>419.125</v>
      </c>
      <c r="T14" s="128">
        <f t="shared" si="7"/>
        <v>1435.16</v>
      </c>
      <c r="U14" s="157">
        <f t="shared" si="4"/>
        <v>140.02000000000001</v>
      </c>
      <c r="V14" s="129">
        <f t="shared" si="5"/>
        <v>1994.3050000000001</v>
      </c>
      <c r="X14" s="169"/>
    </row>
    <row r="15" spans="2:24" ht="21" x14ac:dyDescent="0.35">
      <c r="B15" s="102" t="s">
        <v>26</v>
      </c>
      <c r="C15" s="125" t="s">
        <v>58</v>
      </c>
      <c r="D15" s="102" t="s">
        <v>37</v>
      </c>
      <c r="E15" s="103">
        <v>7443.8</v>
      </c>
      <c r="F15" s="126">
        <v>15</v>
      </c>
      <c r="G15" s="103"/>
      <c r="H15" s="103"/>
      <c r="I15" s="139"/>
      <c r="J15" s="103"/>
      <c r="K15" s="103">
        <f t="shared" si="1"/>
        <v>7443.8</v>
      </c>
      <c r="L15" s="103">
        <v>0</v>
      </c>
      <c r="M15" s="103"/>
      <c r="N15" s="103">
        <v>951.78</v>
      </c>
      <c r="O15" s="103">
        <v>-0.02</v>
      </c>
      <c r="P15" s="156">
        <f t="shared" si="6"/>
        <v>856.04</v>
      </c>
      <c r="Q15" s="103">
        <f t="shared" si="2"/>
        <v>1807.8</v>
      </c>
      <c r="R15" s="208">
        <f t="shared" si="3"/>
        <v>5636</v>
      </c>
      <c r="S15" s="29">
        <v>432.30499999999995</v>
      </c>
      <c r="T15" s="128">
        <f t="shared" si="7"/>
        <v>1525.98</v>
      </c>
      <c r="U15" s="157">
        <f t="shared" si="4"/>
        <v>148.88</v>
      </c>
      <c r="V15" s="129">
        <f t="shared" si="5"/>
        <v>2107.165</v>
      </c>
      <c r="X15" s="169"/>
    </row>
    <row r="16" spans="2:24" ht="21" x14ac:dyDescent="0.35">
      <c r="B16" s="102" t="s">
        <v>27</v>
      </c>
      <c r="C16" s="125" t="s">
        <v>40</v>
      </c>
      <c r="D16" s="102" t="s">
        <v>117</v>
      </c>
      <c r="E16" s="103">
        <v>4918.3649999999998</v>
      </c>
      <c r="F16" s="126">
        <v>15</v>
      </c>
      <c r="G16" s="178">
        <v>2050</v>
      </c>
      <c r="H16" s="103"/>
      <c r="I16" s="139"/>
      <c r="J16" s="103"/>
      <c r="K16" s="103">
        <f>E16-I16</f>
        <v>4918.3649999999998</v>
      </c>
      <c r="L16" s="103">
        <v>0</v>
      </c>
      <c r="M16" s="103"/>
      <c r="N16" s="103">
        <v>447.61</v>
      </c>
      <c r="O16" s="103">
        <v>0.15</v>
      </c>
      <c r="P16" s="156">
        <f>ROUND(E16*0.115,2)</f>
        <v>565.61</v>
      </c>
      <c r="Q16" s="103">
        <f>SUM(N16:P16)+G16</f>
        <v>3063.37</v>
      </c>
      <c r="R16" s="208">
        <f t="shared" si="3"/>
        <v>1854.9949999999999</v>
      </c>
      <c r="S16" s="29">
        <v>361.11500000000001</v>
      </c>
      <c r="T16" s="128">
        <f t="shared" si="7"/>
        <v>1008.26</v>
      </c>
      <c r="U16" s="157">
        <f t="shared" si="4"/>
        <v>98.37</v>
      </c>
      <c r="V16" s="129">
        <f t="shared" si="5"/>
        <v>1467.7449999999999</v>
      </c>
      <c r="X16" s="169"/>
    </row>
    <row r="17" spans="2:24" ht="21" x14ac:dyDescent="0.35">
      <c r="B17" s="102" t="s">
        <v>60</v>
      </c>
      <c r="C17" s="125" t="s">
        <v>41</v>
      </c>
      <c r="D17" s="102" t="s">
        <v>118</v>
      </c>
      <c r="E17" s="103">
        <v>4918.3649999999998</v>
      </c>
      <c r="F17" s="126">
        <v>15</v>
      </c>
      <c r="G17" s="178">
        <v>1676.44</v>
      </c>
      <c r="H17" s="103"/>
      <c r="I17" s="139"/>
      <c r="J17" s="103"/>
      <c r="K17" s="103">
        <f>E17-I17</f>
        <v>4918.3649999999998</v>
      </c>
      <c r="L17" s="103">
        <v>0</v>
      </c>
      <c r="M17" s="103"/>
      <c r="N17" s="103">
        <v>447.61</v>
      </c>
      <c r="O17" s="103">
        <v>0.11</v>
      </c>
      <c r="P17" s="156">
        <f t="shared" si="6"/>
        <v>565.61</v>
      </c>
      <c r="Q17" s="103">
        <f>SUM(N17:P17)+G17</f>
        <v>2689.77</v>
      </c>
      <c r="R17" s="208">
        <f>K17-Q17</f>
        <v>2228.5949999999998</v>
      </c>
      <c r="S17" s="29">
        <v>361.11500000000001</v>
      </c>
      <c r="T17" s="128">
        <f t="shared" si="7"/>
        <v>1008.26</v>
      </c>
      <c r="U17" s="157">
        <f t="shared" si="4"/>
        <v>98.37</v>
      </c>
      <c r="V17" s="129">
        <f t="shared" si="5"/>
        <v>1467.7449999999999</v>
      </c>
      <c r="X17" s="169"/>
    </row>
    <row r="18" spans="2:24" ht="21" x14ac:dyDescent="0.35">
      <c r="B18" s="102" t="s">
        <v>61</v>
      </c>
      <c r="C18" s="125" t="s">
        <v>43</v>
      </c>
      <c r="D18" s="102" t="s">
        <v>3</v>
      </c>
      <c r="E18" s="103">
        <v>4358.17</v>
      </c>
      <c r="F18" s="126">
        <v>15</v>
      </c>
      <c r="G18" s="178">
        <v>1211</v>
      </c>
      <c r="H18" s="103"/>
      <c r="I18" s="32"/>
      <c r="J18" s="103"/>
      <c r="K18" s="103">
        <f t="shared" si="1"/>
        <v>4358.17</v>
      </c>
      <c r="L18" s="103"/>
      <c r="M18" s="103"/>
      <c r="N18" s="103">
        <v>357.97</v>
      </c>
      <c r="O18" s="103">
        <v>0.01</v>
      </c>
      <c r="P18" s="156">
        <f t="shared" si="6"/>
        <v>501.19</v>
      </c>
      <c r="Q18" s="103">
        <f t="shared" si="2"/>
        <v>2070.17</v>
      </c>
      <c r="R18" s="208">
        <f t="shared" si="3"/>
        <v>2288</v>
      </c>
      <c r="S18" s="29">
        <v>326.7</v>
      </c>
      <c r="T18" s="128">
        <f t="shared" si="7"/>
        <v>893.43</v>
      </c>
      <c r="U18" s="157">
        <f t="shared" si="4"/>
        <v>87.16</v>
      </c>
      <c r="V18" s="129">
        <f t="shared" si="5"/>
        <v>1307.29</v>
      </c>
      <c r="X18" s="169"/>
    </row>
    <row r="19" spans="2:24" ht="21" x14ac:dyDescent="0.35">
      <c r="B19" s="102" t="s">
        <v>62</v>
      </c>
      <c r="C19" s="125" t="s">
        <v>42</v>
      </c>
      <c r="D19" s="102" t="s">
        <v>119</v>
      </c>
      <c r="E19" s="103">
        <v>4918.3649999999998</v>
      </c>
      <c r="F19" s="126">
        <v>15</v>
      </c>
      <c r="G19" s="178">
        <v>1340.03</v>
      </c>
      <c r="H19" s="130"/>
      <c r="I19" s="139"/>
      <c r="J19" s="103"/>
      <c r="K19" s="103">
        <f>E19-I19+H19</f>
        <v>4918.3649999999998</v>
      </c>
      <c r="L19" s="103"/>
      <c r="M19" s="103"/>
      <c r="N19" s="103">
        <v>447.61</v>
      </c>
      <c r="O19" s="103">
        <v>0.12</v>
      </c>
      <c r="P19" s="156">
        <f t="shared" si="6"/>
        <v>565.61</v>
      </c>
      <c r="Q19" s="103">
        <f t="shared" si="2"/>
        <v>2353.37</v>
      </c>
      <c r="R19" s="208">
        <f t="shared" si="3"/>
        <v>2564.9949999999999</v>
      </c>
      <c r="S19" s="29">
        <v>361.11500000000001</v>
      </c>
      <c r="T19" s="128">
        <f t="shared" si="7"/>
        <v>1008.26</v>
      </c>
      <c r="U19" s="157">
        <f t="shared" si="4"/>
        <v>98.37</v>
      </c>
      <c r="V19" s="129">
        <f t="shared" si="5"/>
        <v>1467.7449999999999</v>
      </c>
      <c r="X19" s="169"/>
    </row>
    <row r="20" spans="2:24" ht="18.75" x14ac:dyDescent="0.3">
      <c r="B20" s="138" t="s">
        <v>20</v>
      </c>
      <c r="C20" s="194"/>
      <c r="D20" s="133"/>
      <c r="E20" s="135">
        <f>SUM(E12:E19)</f>
        <v>40558.664999999994</v>
      </c>
      <c r="F20" s="135"/>
      <c r="G20" s="135">
        <f>+G19+G18+G17+G16+G12+G13+G14</f>
        <v>9738.0299999999988</v>
      </c>
      <c r="H20" s="135"/>
      <c r="I20" s="135">
        <f t="shared" ref="I20:V20" si="8">SUM(I12:I19)</f>
        <v>0</v>
      </c>
      <c r="J20" s="135">
        <f t="shared" si="8"/>
        <v>0</v>
      </c>
      <c r="K20" s="135">
        <f>SUM(K12:K19)</f>
        <v>40558.664999999994</v>
      </c>
      <c r="L20" s="135">
        <f t="shared" ref="L20" si="9">SUM(L12:L19)</f>
        <v>0</v>
      </c>
      <c r="M20" s="135">
        <f>SUM(M12:M19)</f>
        <v>0</v>
      </c>
      <c r="N20" s="135">
        <f>SUM(N12:N19)</f>
        <v>4366.88</v>
      </c>
      <c r="O20" s="135">
        <f t="shared" si="8"/>
        <v>0.33</v>
      </c>
      <c r="P20" s="135">
        <f>SUM(P12:P19)</f>
        <v>4664.24</v>
      </c>
      <c r="Q20" s="135">
        <f t="shared" si="8"/>
        <v>18769.48</v>
      </c>
      <c r="R20" s="135">
        <f>ROUND(SUM(R12:R19),1)</f>
        <v>21789.200000000001</v>
      </c>
      <c r="S20" s="135">
        <f>SUM(S12:S19)</f>
        <v>2680.5999999999995</v>
      </c>
      <c r="T20" s="135">
        <f t="shared" si="8"/>
        <v>8314.51</v>
      </c>
      <c r="U20" s="135">
        <f>SUM(U12:U19)</f>
        <v>811.18999999999994</v>
      </c>
      <c r="V20" s="135">
        <f t="shared" si="8"/>
        <v>11806.3</v>
      </c>
      <c r="X20" s="169"/>
    </row>
    <row r="21" spans="2:24" ht="18.75" hidden="1" x14ac:dyDescent="0.3">
      <c r="B21" s="138"/>
      <c r="C21" s="136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37"/>
      <c r="X21" s="169"/>
    </row>
    <row r="22" spans="2:24" ht="18.75" x14ac:dyDescent="0.3">
      <c r="B22" s="138" t="s">
        <v>31</v>
      </c>
      <c r="C22" s="31" t="s">
        <v>83</v>
      </c>
      <c r="E22" s="103"/>
      <c r="F22" s="103"/>
      <c r="G22" s="103"/>
      <c r="H22" s="103"/>
      <c r="I22" s="103"/>
      <c r="J22" s="103"/>
      <c r="K22" s="142"/>
      <c r="L22" s="142"/>
      <c r="M22" s="103"/>
      <c r="N22" s="103"/>
      <c r="O22" s="103"/>
      <c r="P22" s="103"/>
      <c r="Q22" s="103"/>
      <c r="R22" s="137"/>
      <c r="X22" s="169"/>
    </row>
    <row r="23" spans="2:24" ht="21" x14ac:dyDescent="0.35">
      <c r="B23" s="102" t="s">
        <v>63</v>
      </c>
      <c r="C23" s="125" t="s">
        <v>110</v>
      </c>
      <c r="D23" s="158" t="s">
        <v>132</v>
      </c>
      <c r="E23" s="103">
        <v>7000.8</v>
      </c>
      <c r="F23" s="126">
        <v>15</v>
      </c>
      <c r="G23" s="103"/>
      <c r="H23" s="103"/>
      <c r="I23" s="103"/>
      <c r="J23" s="103"/>
      <c r="K23" s="103">
        <f>E23-I23</f>
        <v>7000.8</v>
      </c>
      <c r="L23" s="103">
        <v>0</v>
      </c>
      <c r="M23" s="103"/>
      <c r="N23" s="103">
        <v>857.15</v>
      </c>
      <c r="O23" s="103">
        <v>-0.04</v>
      </c>
      <c r="P23" s="156">
        <f>ROUND(E23*0.115,2)</f>
        <v>805.09</v>
      </c>
      <c r="Q23" s="103">
        <f t="shared" ref="Q23:Q24" si="10">SUM(N23:P23)+G23</f>
        <v>1662.2</v>
      </c>
      <c r="R23" s="208">
        <f>K23-Q23</f>
        <v>5338.6</v>
      </c>
      <c r="S23" s="170">
        <v>419.125</v>
      </c>
      <c r="T23" s="128">
        <f t="shared" ref="T23:T26" si="11">ROUND(+E23*17.5%,2)+ROUND(E23*3%,2)</f>
        <v>1435.16</v>
      </c>
      <c r="U23" s="157">
        <f t="shared" ref="U23:U26" si="12">ROUND(+E23*2%,2)</f>
        <v>140.02000000000001</v>
      </c>
      <c r="V23" s="129">
        <f t="shared" ref="V23:V24" si="13">SUM(S23:U23)</f>
        <v>1994.3050000000001</v>
      </c>
      <c r="X23" s="169"/>
    </row>
    <row r="24" spans="2:24" ht="21" x14ac:dyDescent="0.35">
      <c r="B24" s="102" t="s">
        <v>112</v>
      </c>
      <c r="C24" s="125" t="s">
        <v>113</v>
      </c>
      <c r="D24" s="158" t="s">
        <v>133</v>
      </c>
      <c r="E24" s="103">
        <v>7000.8</v>
      </c>
      <c r="F24" s="126">
        <v>15</v>
      </c>
      <c r="G24" s="103"/>
      <c r="H24" s="103"/>
      <c r="I24" s="139"/>
      <c r="J24" s="103"/>
      <c r="K24" s="103">
        <f>E24-I24</f>
        <v>7000.8</v>
      </c>
      <c r="L24" s="103">
        <v>0</v>
      </c>
      <c r="M24" s="103"/>
      <c r="N24" s="103">
        <v>857.15</v>
      </c>
      <c r="O24" s="103">
        <v>-0.04</v>
      </c>
      <c r="P24" s="156">
        <f>ROUND(E24*0.115,2)</f>
        <v>805.09</v>
      </c>
      <c r="Q24" s="103">
        <f t="shared" si="10"/>
        <v>1662.2</v>
      </c>
      <c r="R24" s="208">
        <f>K24-Q24</f>
        <v>5338.6</v>
      </c>
      <c r="S24" s="170">
        <v>419.125</v>
      </c>
      <c r="T24" s="128">
        <f t="shared" si="11"/>
        <v>1435.16</v>
      </c>
      <c r="U24" s="157">
        <f t="shared" si="12"/>
        <v>140.02000000000001</v>
      </c>
      <c r="V24" s="129">
        <f t="shared" si="13"/>
        <v>1994.3050000000001</v>
      </c>
      <c r="X24" s="169"/>
    </row>
    <row r="25" spans="2:24" ht="21" x14ac:dyDescent="0.35">
      <c r="B25" s="102" t="s">
        <v>64</v>
      </c>
      <c r="C25" s="125" t="s">
        <v>45</v>
      </c>
      <c r="D25" s="102" t="s">
        <v>122</v>
      </c>
      <c r="E25" s="103">
        <v>7000.8</v>
      </c>
      <c r="F25" s="126">
        <v>15</v>
      </c>
      <c r="G25" s="141"/>
      <c r="H25" s="103"/>
      <c r="I25" s="143"/>
      <c r="J25" s="103"/>
      <c r="K25" s="103">
        <f>E25-I25</f>
        <v>7000.8</v>
      </c>
      <c r="L25" s="103">
        <v>0</v>
      </c>
      <c r="M25" s="103"/>
      <c r="N25" s="103">
        <v>857.15</v>
      </c>
      <c r="O25" s="103">
        <v>0.16</v>
      </c>
      <c r="P25" s="156">
        <f>ROUND(E25*0.115,2)</f>
        <v>805.09</v>
      </c>
      <c r="Q25" s="103">
        <f>SUM(N25:P25)+G25</f>
        <v>1662.4</v>
      </c>
      <c r="R25" s="208">
        <f>K25-Q25</f>
        <v>5338.4</v>
      </c>
      <c r="S25" s="170">
        <v>419.125</v>
      </c>
      <c r="T25" s="128">
        <f t="shared" si="11"/>
        <v>1435.16</v>
      </c>
      <c r="U25" s="157">
        <f t="shared" si="12"/>
        <v>140.02000000000001</v>
      </c>
      <c r="V25" s="129">
        <f>SUM(S25:U25)</f>
        <v>1994.3050000000001</v>
      </c>
      <c r="X25" s="169"/>
    </row>
    <row r="26" spans="2:24" ht="21" x14ac:dyDescent="0.35">
      <c r="B26" s="102" t="s">
        <v>65</v>
      </c>
      <c r="C26" s="125" t="s">
        <v>59</v>
      </c>
      <c r="D26" s="158" t="s">
        <v>134</v>
      </c>
      <c r="E26" s="103">
        <v>7000.8</v>
      </c>
      <c r="F26" s="126">
        <v>15</v>
      </c>
      <c r="G26" s="141"/>
      <c r="H26" s="130"/>
      <c r="I26" s="130"/>
      <c r="J26" s="103"/>
      <c r="K26" s="103">
        <f>E26-I26+H26</f>
        <v>7000.8</v>
      </c>
      <c r="L26" s="103">
        <v>0</v>
      </c>
      <c r="M26" s="103"/>
      <c r="N26" s="103">
        <v>857.15</v>
      </c>
      <c r="O26" s="103">
        <v>0.16</v>
      </c>
      <c r="P26" s="156">
        <f>ROUND(E26*0.115,2)</f>
        <v>805.09</v>
      </c>
      <c r="Q26" s="103">
        <f>SUM(N26:P26)+G26</f>
        <v>1662.4</v>
      </c>
      <c r="R26" s="208">
        <f>K26-Q26</f>
        <v>5338.4</v>
      </c>
      <c r="S26" s="170">
        <v>419.125</v>
      </c>
      <c r="T26" s="128">
        <f t="shared" si="11"/>
        <v>1435.16</v>
      </c>
      <c r="U26" s="157">
        <f t="shared" si="12"/>
        <v>140.02000000000001</v>
      </c>
      <c r="V26" s="129">
        <f>SUM(S26:U26)</f>
        <v>1994.3050000000001</v>
      </c>
      <c r="X26" s="169"/>
    </row>
    <row r="27" spans="2:24" ht="18.75" x14ac:dyDescent="0.3">
      <c r="B27" s="138" t="s">
        <v>20</v>
      </c>
      <c r="C27" s="132"/>
      <c r="D27" s="133"/>
      <c r="E27" s="135">
        <f>SUM(E23:E26)</f>
        <v>28003.200000000001</v>
      </c>
      <c r="F27" s="135"/>
      <c r="G27" s="135">
        <f>+G26+G25+G23+G24</f>
        <v>0</v>
      </c>
      <c r="H27" s="135"/>
      <c r="I27" s="135">
        <f t="shared" ref="I27:J27" si="14">SUM(I23:I26)</f>
        <v>0</v>
      </c>
      <c r="J27" s="135">
        <f t="shared" si="14"/>
        <v>0</v>
      </c>
      <c r="K27" s="135">
        <f>SUM(K23:K26)</f>
        <v>28003.200000000001</v>
      </c>
      <c r="L27" s="135">
        <f t="shared" ref="L27" si="15">SUM(L23:L26)</f>
        <v>0</v>
      </c>
      <c r="M27" s="135">
        <f>SUM(M23:M26)</f>
        <v>0</v>
      </c>
      <c r="N27" s="135">
        <f>SUM(N23:N26)</f>
        <v>3428.6</v>
      </c>
      <c r="O27" s="135">
        <f t="shared" ref="O27:Q27" si="16">SUM(O23:O26)</f>
        <v>0.24</v>
      </c>
      <c r="P27" s="135">
        <f>SUM(P23:P26)</f>
        <v>3220.36</v>
      </c>
      <c r="Q27" s="135">
        <f t="shared" si="16"/>
        <v>6649.2000000000007</v>
      </c>
      <c r="R27" s="135">
        <f>ROUND(SUM(R23:R26),1)</f>
        <v>21354</v>
      </c>
      <c r="S27" s="135">
        <f>SUM(S23:S26)</f>
        <v>1676.5</v>
      </c>
      <c r="T27" s="135">
        <f>SUM(T23:T26)</f>
        <v>5740.64</v>
      </c>
      <c r="U27" s="135">
        <f>SUM(U23:U26)</f>
        <v>560.08000000000004</v>
      </c>
      <c r="V27" s="135">
        <f>SUM(V23:V26)</f>
        <v>7977.22</v>
      </c>
      <c r="X27" s="169"/>
    </row>
    <row r="28" spans="2:24" ht="18.75" hidden="1" x14ac:dyDescent="0.3">
      <c r="C28" s="136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37"/>
      <c r="X28" s="169"/>
    </row>
    <row r="29" spans="2:24" ht="18.75" x14ac:dyDescent="0.3">
      <c r="B29" s="138" t="s">
        <v>33</v>
      </c>
      <c r="C29" s="31" t="s">
        <v>32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37"/>
      <c r="X29" s="169"/>
    </row>
    <row r="30" spans="2:24" ht="21" x14ac:dyDescent="0.35">
      <c r="B30" s="102" t="s">
        <v>66</v>
      </c>
      <c r="C30" s="125" t="s">
        <v>49</v>
      </c>
      <c r="D30" s="158" t="s">
        <v>128</v>
      </c>
      <c r="E30" s="103">
        <v>7000.8</v>
      </c>
      <c r="F30" s="126">
        <v>15</v>
      </c>
      <c r="G30" s="103"/>
      <c r="H30" s="103"/>
      <c r="I30" s="144"/>
      <c r="J30" s="103"/>
      <c r="K30" s="103">
        <f t="shared" ref="K30:K43" si="17">E30-I30</f>
        <v>7000.8</v>
      </c>
      <c r="L30" s="103">
        <v>0</v>
      </c>
      <c r="M30" s="103"/>
      <c r="N30" s="103">
        <v>857.15</v>
      </c>
      <c r="O30" s="103">
        <v>-0.04</v>
      </c>
      <c r="P30" s="156">
        <f>ROUND(E30*0.115,2)</f>
        <v>805.09</v>
      </c>
      <c r="Q30" s="103">
        <f t="shared" ref="Q30:Q40" si="18">SUM(N30:P30)+G30</f>
        <v>1662.2</v>
      </c>
      <c r="R30" s="208">
        <f t="shared" ref="R30:R43" si="19">K30-Q30</f>
        <v>5338.6</v>
      </c>
      <c r="S30" s="170">
        <v>419.125</v>
      </c>
      <c r="T30" s="128">
        <f t="shared" ref="T30:T40" si="20">ROUND(+E30*17.5%,2)+ROUND(E30*3%,2)</f>
        <v>1435.16</v>
      </c>
      <c r="U30" s="157">
        <f t="shared" ref="U30:U40" si="21">ROUND(+E30*2%,2)</f>
        <v>140.02000000000001</v>
      </c>
      <c r="V30" s="129">
        <f>SUM(S30:U30)</f>
        <v>1994.3050000000001</v>
      </c>
      <c r="X30" s="169"/>
    </row>
    <row r="31" spans="2:24" ht="21" x14ac:dyDescent="0.35">
      <c r="B31" s="102" t="s">
        <v>67</v>
      </c>
      <c r="C31" s="125" t="s">
        <v>51</v>
      </c>
      <c r="D31" s="158" t="s">
        <v>135</v>
      </c>
      <c r="E31" s="103">
        <v>7000.8</v>
      </c>
      <c r="F31" s="126">
        <v>15</v>
      </c>
      <c r="G31" s="178">
        <v>1556</v>
      </c>
      <c r="H31" s="103"/>
      <c r="I31" s="130"/>
      <c r="J31" s="141"/>
      <c r="K31" s="141">
        <f t="shared" si="17"/>
        <v>7000.8</v>
      </c>
      <c r="L31" s="141">
        <v>0</v>
      </c>
      <c r="M31" s="103"/>
      <c r="N31" s="103">
        <v>857.15</v>
      </c>
      <c r="O31" s="103">
        <v>-0.04</v>
      </c>
      <c r="P31" s="156">
        <f t="shared" ref="P31:P40" si="22">ROUND(E31*0.115,2)</f>
        <v>805.09</v>
      </c>
      <c r="Q31" s="103">
        <f>SUM(N31:P31)+G31</f>
        <v>3218.2</v>
      </c>
      <c r="R31" s="208">
        <f t="shared" si="19"/>
        <v>3782.6000000000004</v>
      </c>
      <c r="S31" s="170">
        <v>419.125</v>
      </c>
      <c r="T31" s="128">
        <f t="shared" si="20"/>
        <v>1435.16</v>
      </c>
      <c r="U31" s="157">
        <f t="shared" si="21"/>
        <v>140.02000000000001</v>
      </c>
      <c r="V31" s="129">
        <f>SUM(S31:U31)</f>
        <v>1994.3050000000001</v>
      </c>
      <c r="X31" s="169"/>
    </row>
    <row r="32" spans="2:24" ht="21" x14ac:dyDescent="0.35">
      <c r="B32" s="102" t="s">
        <v>68</v>
      </c>
      <c r="C32" s="125" t="s">
        <v>48</v>
      </c>
      <c r="D32" s="102" t="s">
        <v>123</v>
      </c>
      <c r="E32" s="103">
        <v>7443.8</v>
      </c>
      <c r="F32" s="126">
        <v>15</v>
      </c>
      <c r="G32" s="103"/>
      <c r="H32" s="103"/>
      <c r="I32" s="130"/>
      <c r="J32" s="103"/>
      <c r="K32" s="103">
        <f t="shared" si="17"/>
        <v>7443.8</v>
      </c>
      <c r="L32" s="103">
        <v>0</v>
      </c>
      <c r="M32" s="103"/>
      <c r="N32" s="103">
        <v>951.78</v>
      </c>
      <c r="O32" s="103">
        <v>-0.02</v>
      </c>
      <c r="P32" s="156">
        <f t="shared" si="22"/>
        <v>856.04</v>
      </c>
      <c r="Q32" s="103">
        <f t="shared" si="18"/>
        <v>1807.8</v>
      </c>
      <c r="R32" s="208">
        <f t="shared" si="19"/>
        <v>5636</v>
      </c>
      <c r="S32" s="170">
        <v>432.30499999999995</v>
      </c>
      <c r="T32" s="128">
        <f t="shared" si="20"/>
        <v>1525.98</v>
      </c>
      <c r="U32" s="157">
        <f>ROUND(+E32*2%,2)</f>
        <v>148.88</v>
      </c>
      <c r="V32" s="129">
        <f t="shared" ref="V32:V40" si="23">SUM(S32:U32)</f>
        <v>2107.165</v>
      </c>
      <c r="X32" s="169"/>
    </row>
    <row r="33" spans="2:24" ht="21" x14ac:dyDescent="0.35">
      <c r="B33" s="102" t="s">
        <v>77</v>
      </c>
      <c r="C33" s="125" t="s">
        <v>111</v>
      </c>
      <c r="D33" s="102" t="s">
        <v>127</v>
      </c>
      <c r="E33" s="103">
        <v>7000.8</v>
      </c>
      <c r="F33" s="126">
        <v>15</v>
      </c>
      <c r="G33" s="178">
        <v>1167</v>
      </c>
      <c r="H33" s="103"/>
      <c r="I33" s="144"/>
      <c r="J33" s="103"/>
      <c r="K33" s="103">
        <f>E33-I33</f>
        <v>7000.8</v>
      </c>
      <c r="L33" s="103">
        <v>0</v>
      </c>
      <c r="M33" s="103"/>
      <c r="N33" s="103">
        <v>857.15</v>
      </c>
      <c r="O33" s="103">
        <v>-0.04</v>
      </c>
      <c r="P33" s="156">
        <f t="shared" si="22"/>
        <v>805.09</v>
      </c>
      <c r="Q33" s="103">
        <f>SUM(N33:P33)+G33</f>
        <v>2829.2</v>
      </c>
      <c r="R33" s="208">
        <f>K33-Q33</f>
        <v>4171.6000000000004</v>
      </c>
      <c r="S33" s="170">
        <v>419.125</v>
      </c>
      <c r="T33" s="128">
        <f t="shared" si="20"/>
        <v>1435.16</v>
      </c>
      <c r="U33" s="157">
        <f t="shared" si="21"/>
        <v>140.02000000000001</v>
      </c>
      <c r="V33" s="129">
        <f t="shared" si="23"/>
        <v>1994.3050000000001</v>
      </c>
      <c r="X33" s="169"/>
    </row>
    <row r="34" spans="2:24" ht="21" x14ac:dyDescent="0.35">
      <c r="B34" s="102" t="s">
        <v>70</v>
      </c>
      <c r="C34" s="125" t="s">
        <v>46</v>
      </c>
      <c r="D34" s="102" t="s">
        <v>124</v>
      </c>
      <c r="E34" s="103">
        <v>7000.8</v>
      </c>
      <c r="F34" s="126">
        <v>15</v>
      </c>
      <c r="G34" s="178">
        <v>1945</v>
      </c>
      <c r="H34" s="103"/>
      <c r="I34" s="139"/>
      <c r="J34" s="141"/>
      <c r="K34" s="141">
        <f t="shared" si="17"/>
        <v>7000.8</v>
      </c>
      <c r="L34" s="141">
        <v>0</v>
      </c>
      <c r="M34" s="103"/>
      <c r="N34" s="103">
        <v>857.15</v>
      </c>
      <c r="O34" s="103">
        <v>-0.04</v>
      </c>
      <c r="P34" s="156">
        <f t="shared" si="22"/>
        <v>805.09</v>
      </c>
      <c r="Q34" s="103">
        <f t="shared" si="18"/>
        <v>3607.2</v>
      </c>
      <c r="R34" s="208">
        <f t="shared" si="19"/>
        <v>3393.6000000000004</v>
      </c>
      <c r="S34" s="170">
        <v>419.125</v>
      </c>
      <c r="T34" s="128">
        <f t="shared" si="20"/>
        <v>1435.16</v>
      </c>
      <c r="U34" s="157">
        <f t="shared" si="21"/>
        <v>140.02000000000001</v>
      </c>
      <c r="V34" s="129">
        <f t="shared" si="23"/>
        <v>1994.3050000000001</v>
      </c>
      <c r="X34" s="169"/>
    </row>
    <row r="35" spans="2:24" ht="21" x14ac:dyDescent="0.35">
      <c r="B35" s="102" t="s">
        <v>71</v>
      </c>
      <c r="C35" s="125" t="s">
        <v>50</v>
      </c>
      <c r="D35" s="102" t="s">
        <v>124</v>
      </c>
      <c r="E35" s="103">
        <v>7000.8</v>
      </c>
      <c r="F35" s="126">
        <v>15</v>
      </c>
      <c r="G35" s="103"/>
      <c r="H35" s="141"/>
      <c r="I35" s="130"/>
      <c r="J35" s="141"/>
      <c r="K35" s="141">
        <f t="shared" si="17"/>
        <v>7000.8</v>
      </c>
      <c r="L35" s="141">
        <v>0</v>
      </c>
      <c r="M35" s="103"/>
      <c r="N35" s="103">
        <v>857.15</v>
      </c>
      <c r="O35" s="103">
        <v>-0.04</v>
      </c>
      <c r="P35" s="156">
        <f t="shared" si="22"/>
        <v>805.09</v>
      </c>
      <c r="Q35" s="103">
        <f t="shared" si="18"/>
        <v>1662.2</v>
      </c>
      <c r="R35" s="208">
        <f t="shared" si="19"/>
        <v>5338.6</v>
      </c>
      <c r="S35" s="170">
        <v>419.125</v>
      </c>
      <c r="T35" s="128">
        <f t="shared" si="20"/>
        <v>1435.16</v>
      </c>
      <c r="U35" s="157">
        <f t="shared" si="21"/>
        <v>140.02000000000001</v>
      </c>
      <c r="V35" s="129">
        <f t="shared" si="23"/>
        <v>1994.3050000000001</v>
      </c>
      <c r="X35" s="169"/>
    </row>
    <row r="36" spans="2:24" ht="21" x14ac:dyDescent="0.35">
      <c r="B36" s="102" t="s">
        <v>72</v>
      </c>
      <c r="C36" s="125" t="s">
        <v>52</v>
      </c>
      <c r="D36" s="102" t="s">
        <v>124</v>
      </c>
      <c r="E36" s="103">
        <v>7000.8</v>
      </c>
      <c r="F36" s="126">
        <v>15</v>
      </c>
      <c r="G36" s="103"/>
      <c r="H36" s="103"/>
      <c r="I36" s="139"/>
      <c r="J36" s="141"/>
      <c r="K36" s="141">
        <f t="shared" si="17"/>
        <v>7000.8</v>
      </c>
      <c r="L36" s="141">
        <v>0</v>
      </c>
      <c r="M36" s="103"/>
      <c r="N36" s="103">
        <v>857.15</v>
      </c>
      <c r="O36" s="103">
        <v>-0.04</v>
      </c>
      <c r="P36" s="156">
        <f t="shared" si="22"/>
        <v>805.09</v>
      </c>
      <c r="Q36" s="103">
        <f t="shared" si="18"/>
        <v>1662.2</v>
      </c>
      <c r="R36" s="208">
        <f t="shared" si="19"/>
        <v>5338.6</v>
      </c>
      <c r="S36" s="170">
        <v>419.125</v>
      </c>
      <c r="T36" s="128">
        <f t="shared" si="20"/>
        <v>1435.16</v>
      </c>
      <c r="U36" s="157">
        <f t="shared" si="21"/>
        <v>140.02000000000001</v>
      </c>
      <c r="V36" s="129">
        <f t="shared" si="23"/>
        <v>1994.3050000000001</v>
      </c>
      <c r="X36" s="169"/>
    </row>
    <row r="37" spans="2:24" s="162" customFormat="1" ht="21" x14ac:dyDescent="0.35">
      <c r="B37" s="7" t="s">
        <v>73</v>
      </c>
      <c r="C37" s="30" t="s">
        <v>47</v>
      </c>
      <c r="D37" s="7" t="s">
        <v>125</v>
      </c>
      <c r="E37" s="103">
        <v>7000.8</v>
      </c>
      <c r="F37" s="126">
        <v>15</v>
      </c>
      <c r="G37" s="103"/>
      <c r="H37" s="103"/>
      <c r="I37" s="139"/>
      <c r="J37" s="141"/>
      <c r="K37" s="141">
        <f t="shared" si="17"/>
        <v>7000.8</v>
      </c>
      <c r="L37" s="141">
        <v>0</v>
      </c>
      <c r="M37" s="103"/>
      <c r="N37" s="103">
        <v>857.15</v>
      </c>
      <c r="O37" s="103">
        <v>-0.04</v>
      </c>
      <c r="P37" s="156">
        <f t="shared" si="22"/>
        <v>805.09</v>
      </c>
      <c r="Q37" s="103">
        <f t="shared" si="18"/>
        <v>1662.2</v>
      </c>
      <c r="R37" s="208">
        <f t="shared" si="19"/>
        <v>5338.6</v>
      </c>
      <c r="S37" s="170">
        <v>419.125</v>
      </c>
      <c r="T37" s="128">
        <f t="shared" si="20"/>
        <v>1435.16</v>
      </c>
      <c r="U37" s="157">
        <f t="shared" si="21"/>
        <v>140.02000000000001</v>
      </c>
      <c r="V37" s="129">
        <f t="shared" si="23"/>
        <v>1994.3050000000001</v>
      </c>
      <c r="X37" s="128"/>
    </row>
    <row r="38" spans="2:24" ht="21" x14ac:dyDescent="0.35">
      <c r="B38" s="102" t="s">
        <v>74</v>
      </c>
      <c r="C38" s="125" t="s">
        <v>53</v>
      </c>
      <c r="D38" s="102" t="s">
        <v>125</v>
      </c>
      <c r="E38" s="103">
        <v>7000.8</v>
      </c>
      <c r="F38" s="126">
        <v>15</v>
      </c>
      <c r="G38" s="141"/>
      <c r="H38" s="103"/>
      <c r="I38" s="139">
        <v>5.56</v>
      </c>
      <c r="J38" s="103"/>
      <c r="K38" s="103">
        <f t="shared" si="17"/>
        <v>6995.24</v>
      </c>
      <c r="L38" s="103">
        <v>0</v>
      </c>
      <c r="M38" s="103"/>
      <c r="N38" s="103">
        <v>857.15</v>
      </c>
      <c r="O38" s="103">
        <v>0</v>
      </c>
      <c r="P38" s="156">
        <f t="shared" si="22"/>
        <v>805.09</v>
      </c>
      <c r="Q38" s="103">
        <f>SUM(N38:P38)+G38</f>
        <v>1662.24</v>
      </c>
      <c r="R38" s="208">
        <f t="shared" si="19"/>
        <v>5333</v>
      </c>
      <c r="S38" s="170">
        <v>419.125</v>
      </c>
      <c r="T38" s="128">
        <f t="shared" si="20"/>
        <v>1435.16</v>
      </c>
      <c r="U38" s="157">
        <f t="shared" si="21"/>
        <v>140.02000000000001</v>
      </c>
      <c r="V38" s="129">
        <f t="shared" si="23"/>
        <v>1994.3050000000001</v>
      </c>
      <c r="X38" s="169"/>
    </row>
    <row r="39" spans="2:24" ht="21" x14ac:dyDescent="0.35">
      <c r="B39" s="102" t="s">
        <v>75</v>
      </c>
      <c r="C39" s="125" t="s">
        <v>39</v>
      </c>
      <c r="D39" s="102" t="s">
        <v>126</v>
      </c>
      <c r="E39" s="103">
        <v>7000.8</v>
      </c>
      <c r="F39" s="126">
        <v>15</v>
      </c>
      <c r="G39" s="141"/>
      <c r="H39" s="103"/>
      <c r="I39" s="144"/>
      <c r="J39" s="103"/>
      <c r="K39" s="103">
        <f t="shared" si="17"/>
        <v>7000.8</v>
      </c>
      <c r="L39" s="103">
        <v>0</v>
      </c>
      <c r="M39" s="103"/>
      <c r="N39" s="103">
        <v>857.15</v>
      </c>
      <c r="O39" s="103">
        <v>-0.04</v>
      </c>
      <c r="P39" s="156">
        <f t="shared" si="22"/>
        <v>805.09</v>
      </c>
      <c r="Q39" s="103">
        <f>SUM(N39:P39)+G39</f>
        <v>1662.2</v>
      </c>
      <c r="R39" s="208">
        <f t="shared" si="19"/>
        <v>5338.6</v>
      </c>
      <c r="S39" s="170">
        <v>419.125</v>
      </c>
      <c r="T39" s="128">
        <f t="shared" si="20"/>
        <v>1435.16</v>
      </c>
      <c r="U39" s="157">
        <f t="shared" si="21"/>
        <v>140.02000000000001</v>
      </c>
      <c r="V39" s="129">
        <f t="shared" si="23"/>
        <v>1994.3050000000001</v>
      </c>
      <c r="X39" s="169"/>
    </row>
    <row r="40" spans="2:24" ht="21" x14ac:dyDescent="0.35">
      <c r="B40" s="102" t="s">
        <v>76</v>
      </c>
      <c r="C40" s="30" t="s">
        <v>54</v>
      </c>
      <c r="D40" s="102" t="s">
        <v>126</v>
      </c>
      <c r="E40" s="103">
        <v>7000.8</v>
      </c>
      <c r="F40" s="126">
        <v>15</v>
      </c>
      <c r="G40" s="178">
        <v>1910</v>
      </c>
      <c r="H40" s="103"/>
      <c r="I40" s="144"/>
      <c r="J40" s="103"/>
      <c r="K40" s="103">
        <f t="shared" si="17"/>
        <v>7000.8</v>
      </c>
      <c r="L40" s="103">
        <v>0</v>
      </c>
      <c r="M40" s="103"/>
      <c r="N40" s="103">
        <v>857.15</v>
      </c>
      <c r="O40" s="103">
        <v>-0.04</v>
      </c>
      <c r="P40" s="156">
        <f t="shared" si="22"/>
        <v>805.09</v>
      </c>
      <c r="Q40" s="103">
        <f t="shared" si="18"/>
        <v>3572.2</v>
      </c>
      <c r="R40" s="208">
        <f t="shared" si="19"/>
        <v>3428.6000000000004</v>
      </c>
      <c r="S40" s="170">
        <v>419.125</v>
      </c>
      <c r="T40" s="128">
        <f t="shared" si="20"/>
        <v>1435.16</v>
      </c>
      <c r="U40" s="157">
        <f t="shared" si="21"/>
        <v>140.02000000000001</v>
      </c>
      <c r="V40" s="129">
        <f t="shared" si="23"/>
        <v>1994.3050000000001</v>
      </c>
      <c r="X40" s="169"/>
    </row>
    <row r="41" spans="2:24" ht="21" x14ac:dyDescent="0.35">
      <c r="B41" s="158" t="s">
        <v>150</v>
      </c>
      <c r="C41" s="30" t="s">
        <v>171</v>
      </c>
      <c r="D41" s="158" t="s">
        <v>109</v>
      </c>
      <c r="E41" s="103">
        <v>7000.8</v>
      </c>
      <c r="F41" s="126">
        <v>12</v>
      </c>
      <c r="G41" s="141"/>
      <c r="H41" s="103"/>
      <c r="I41" s="144">
        <v>1400.16</v>
      </c>
      <c r="J41" s="103"/>
      <c r="K41" s="103">
        <f t="shared" si="17"/>
        <v>5600.64</v>
      </c>
      <c r="L41" s="103">
        <v>0</v>
      </c>
      <c r="M41" s="103"/>
      <c r="N41" s="103">
        <v>857.15</v>
      </c>
      <c r="O41" s="103">
        <v>-0.11</v>
      </c>
      <c r="P41" s="141"/>
      <c r="Q41" s="103">
        <f t="shared" ref="Q41:Q43" si="24">SUM(N41:P41)+G41</f>
        <v>857.04</v>
      </c>
      <c r="R41" s="208">
        <f t="shared" si="19"/>
        <v>4743.6000000000004</v>
      </c>
      <c r="S41" s="170">
        <v>419.125</v>
      </c>
      <c r="T41" s="128"/>
      <c r="U41" s="157"/>
      <c r="V41" s="129">
        <f t="shared" ref="V41:V43" si="25">SUM(S41:U41)</f>
        <v>419.125</v>
      </c>
      <c r="X41" s="169"/>
    </row>
    <row r="42" spans="2:24" ht="21" x14ac:dyDescent="0.35">
      <c r="B42" s="158" t="s">
        <v>151</v>
      </c>
      <c r="C42" s="30" t="s">
        <v>172</v>
      </c>
      <c r="D42" s="158" t="s">
        <v>109</v>
      </c>
      <c r="E42" s="103">
        <v>7000.8</v>
      </c>
      <c r="F42" s="126">
        <v>15</v>
      </c>
      <c r="G42" s="141"/>
      <c r="H42" s="103"/>
      <c r="I42" s="144"/>
      <c r="J42" s="103"/>
      <c r="K42" s="103">
        <f t="shared" si="17"/>
        <v>7000.8</v>
      </c>
      <c r="L42" s="103">
        <v>0</v>
      </c>
      <c r="M42" s="103"/>
      <c r="N42" s="103">
        <v>857.15</v>
      </c>
      <c r="O42" s="103">
        <v>-0.15</v>
      </c>
      <c r="P42" s="141"/>
      <c r="Q42" s="103">
        <f t="shared" si="24"/>
        <v>857</v>
      </c>
      <c r="R42" s="208">
        <f t="shared" si="19"/>
        <v>6143.8</v>
      </c>
      <c r="S42" s="170">
        <v>419.125</v>
      </c>
      <c r="T42" s="128"/>
      <c r="U42" s="157"/>
      <c r="V42" s="129">
        <f t="shared" si="25"/>
        <v>419.125</v>
      </c>
      <c r="X42" s="169"/>
    </row>
    <row r="43" spans="2:24" ht="21" x14ac:dyDescent="0.35">
      <c r="B43" s="158" t="s">
        <v>152</v>
      </c>
      <c r="C43" s="30" t="s">
        <v>173</v>
      </c>
      <c r="D43" s="158" t="s">
        <v>109</v>
      </c>
      <c r="E43" s="103">
        <v>7000.8</v>
      </c>
      <c r="F43" s="126">
        <v>15</v>
      </c>
      <c r="G43" s="141"/>
      <c r="H43" s="103"/>
      <c r="I43" s="144"/>
      <c r="J43" s="103"/>
      <c r="K43" s="103">
        <f t="shared" si="17"/>
        <v>7000.8</v>
      </c>
      <c r="L43" s="103">
        <v>0</v>
      </c>
      <c r="M43" s="103"/>
      <c r="N43" s="103">
        <v>857.15</v>
      </c>
      <c r="O43" s="103">
        <v>-0.15</v>
      </c>
      <c r="P43" s="141"/>
      <c r="Q43" s="103">
        <f t="shared" si="24"/>
        <v>857</v>
      </c>
      <c r="R43" s="208">
        <f t="shared" si="19"/>
        <v>6143.8</v>
      </c>
      <c r="S43" s="170">
        <v>419.125</v>
      </c>
      <c r="T43" s="128"/>
      <c r="U43" s="157"/>
      <c r="V43" s="129">
        <f t="shared" si="25"/>
        <v>419.125</v>
      </c>
      <c r="X43" s="169"/>
    </row>
    <row r="44" spans="2:24" ht="18.75" x14ac:dyDescent="0.3">
      <c r="B44" s="138" t="s">
        <v>20</v>
      </c>
      <c r="C44" s="132"/>
      <c r="D44" s="133"/>
      <c r="E44" s="135">
        <f t="shared" ref="E44:Q44" si="26">SUM(E30:E43)</f>
        <v>98454.200000000026</v>
      </c>
      <c r="F44" s="135"/>
      <c r="G44" s="135">
        <f t="shared" si="26"/>
        <v>6578</v>
      </c>
      <c r="H44" s="135">
        <f t="shared" si="26"/>
        <v>0</v>
      </c>
      <c r="I44" s="135">
        <f t="shared" si="26"/>
        <v>1405.72</v>
      </c>
      <c r="J44" s="135">
        <f t="shared" si="26"/>
        <v>0</v>
      </c>
      <c r="K44" s="135">
        <f t="shared" si="26"/>
        <v>97048.48000000001</v>
      </c>
      <c r="L44" s="135">
        <f t="shared" si="26"/>
        <v>0</v>
      </c>
      <c r="M44" s="135">
        <f t="shared" si="26"/>
        <v>0</v>
      </c>
      <c r="N44" s="135">
        <f t="shared" si="26"/>
        <v>12094.729999999998</v>
      </c>
      <c r="O44" s="135">
        <f t="shared" si="26"/>
        <v>-0.78999999999999992</v>
      </c>
      <c r="P44" s="135">
        <f t="shared" si="26"/>
        <v>8906.94</v>
      </c>
      <c r="Q44" s="135">
        <f t="shared" si="26"/>
        <v>27578.880000000005</v>
      </c>
      <c r="R44" s="135">
        <f>ROUND(SUM(R30:R43),1)</f>
        <v>69469.600000000006</v>
      </c>
      <c r="S44" s="135">
        <f>SUM(S30:S43)</f>
        <v>5880.93</v>
      </c>
      <c r="T44" s="135">
        <f>SUM(T30:T43)</f>
        <v>15877.58</v>
      </c>
      <c r="U44" s="135">
        <f>SUM(U30:U43)</f>
        <v>1549.08</v>
      </c>
      <c r="V44" s="135">
        <f>SUM(V30:V43)</f>
        <v>23307.59</v>
      </c>
      <c r="X44" s="169"/>
    </row>
    <row r="45" spans="2:24" ht="18.75" hidden="1" x14ac:dyDescent="0.3">
      <c r="C45" s="136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37"/>
      <c r="X45" s="169"/>
    </row>
    <row r="46" spans="2:24" ht="18.75" x14ac:dyDescent="0.3">
      <c r="B46" s="138" t="s">
        <v>78</v>
      </c>
      <c r="C46" s="31" t="s">
        <v>34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37"/>
      <c r="X46" s="169"/>
    </row>
    <row r="47" spans="2:24" ht="21" x14ac:dyDescent="0.35">
      <c r="B47" s="102" t="s">
        <v>69</v>
      </c>
      <c r="C47" s="125" t="s">
        <v>55</v>
      </c>
      <c r="D47" s="102" t="s">
        <v>130</v>
      </c>
      <c r="E47" s="103">
        <v>7443.8</v>
      </c>
      <c r="F47" s="126">
        <v>15</v>
      </c>
      <c r="G47" s="137"/>
      <c r="H47" s="103"/>
      <c r="I47" s="144"/>
      <c r="J47" s="141"/>
      <c r="K47" s="141">
        <f t="shared" ref="K47" si="27">E47-I47</f>
        <v>7443.8</v>
      </c>
      <c r="L47" s="141"/>
      <c r="M47" s="103"/>
      <c r="N47" s="103">
        <v>951.78</v>
      </c>
      <c r="O47" s="103">
        <v>-0.02</v>
      </c>
      <c r="P47" s="156">
        <f t="shared" ref="P47:P49" si="28">ROUND(E47*0.115,2)</f>
        <v>856.04</v>
      </c>
      <c r="Q47" s="103">
        <f t="shared" ref="Q47" si="29">SUM(N47:P47)+G47</f>
        <v>1807.8</v>
      </c>
      <c r="R47" s="208">
        <f t="shared" ref="R47" si="30">K47-Q47</f>
        <v>5636</v>
      </c>
      <c r="S47" s="170">
        <v>432.30499999999995</v>
      </c>
      <c r="T47" s="128">
        <f t="shared" ref="T47:T49" si="31">ROUND(+E47*17.5%,2)+ROUND(E47*3%,2)</f>
        <v>1525.98</v>
      </c>
      <c r="U47" s="157">
        <f t="shared" ref="U47:U49" si="32">ROUND(+E47*2%,2)</f>
        <v>148.88</v>
      </c>
      <c r="V47" s="129">
        <f t="shared" ref="V47:V52" si="33">SUM(S47:U47)</f>
        <v>2107.165</v>
      </c>
      <c r="X47" s="169"/>
    </row>
    <row r="48" spans="2:24" ht="21" x14ac:dyDescent="0.35">
      <c r="B48" s="102" t="s">
        <v>81</v>
      </c>
      <c r="C48" s="30" t="s">
        <v>44</v>
      </c>
      <c r="D48" s="102" t="s">
        <v>128</v>
      </c>
      <c r="E48" s="103">
        <v>7000.8</v>
      </c>
      <c r="F48" s="126">
        <v>15</v>
      </c>
      <c r="G48" s="178">
        <v>1751.03</v>
      </c>
      <c r="H48" s="103"/>
      <c r="I48" s="144"/>
      <c r="J48" s="103"/>
      <c r="K48" s="103">
        <f>E48-I48</f>
        <v>7000.8</v>
      </c>
      <c r="L48" s="103"/>
      <c r="M48" s="103"/>
      <c r="N48" s="103">
        <v>857.15</v>
      </c>
      <c r="O48" s="103">
        <v>0.13</v>
      </c>
      <c r="P48" s="156">
        <f t="shared" si="28"/>
        <v>805.09</v>
      </c>
      <c r="Q48" s="103">
        <f>SUM(N48:P48)+G48</f>
        <v>3413.3999999999996</v>
      </c>
      <c r="R48" s="208">
        <f>K48-Q48</f>
        <v>3587.4000000000005</v>
      </c>
      <c r="S48" s="170">
        <v>419.125</v>
      </c>
      <c r="T48" s="128">
        <f t="shared" si="31"/>
        <v>1435.16</v>
      </c>
      <c r="U48" s="157">
        <f t="shared" si="32"/>
        <v>140.02000000000001</v>
      </c>
      <c r="V48" s="129">
        <f t="shared" si="33"/>
        <v>1994.3050000000001</v>
      </c>
      <c r="X48" s="169"/>
    </row>
    <row r="49" spans="1:24" ht="21" x14ac:dyDescent="0.35">
      <c r="B49" s="102" t="s">
        <v>107</v>
      </c>
      <c r="C49" s="125" t="s">
        <v>108</v>
      </c>
      <c r="D49" s="102" t="s">
        <v>109</v>
      </c>
      <c r="E49" s="103">
        <v>7000.8</v>
      </c>
      <c r="F49" s="126">
        <v>15</v>
      </c>
      <c r="G49" s="103"/>
      <c r="H49" s="103"/>
      <c r="I49" s="144"/>
      <c r="J49" s="103"/>
      <c r="K49" s="103">
        <f>E49-I49</f>
        <v>7000.8</v>
      </c>
      <c r="L49" s="103"/>
      <c r="M49" s="103"/>
      <c r="N49" s="103">
        <v>857.15</v>
      </c>
      <c r="O49" s="103">
        <v>-0.04</v>
      </c>
      <c r="P49" s="156">
        <f t="shared" si="28"/>
        <v>805.09</v>
      </c>
      <c r="Q49" s="103">
        <f>SUM(N49:P49)+G49</f>
        <v>1662.2</v>
      </c>
      <c r="R49" s="208">
        <f>K49-Q49</f>
        <v>5338.6</v>
      </c>
      <c r="S49" s="170">
        <v>419.125</v>
      </c>
      <c r="T49" s="128">
        <f t="shared" si="31"/>
        <v>1435.16</v>
      </c>
      <c r="U49" s="157">
        <f t="shared" si="32"/>
        <v>140.02000000000001</v>
      </c>
      <c r="V49" s="129">
        <f t="shared" si="33"/>
        <v>1994.3050000000001</v>
      </c>
      <c r="X49" s="169"/>
    </row>
    <row r="50" spans="1:24" ht="31.5" x14ac:dyDescent="0.35">
      <c r="A50" s="102" t="s">
        <v>179</v>
      </c>
      <c r="B50" s="158" t="s">
        <v>156</v>
      </c>
      <c r="C50" s="30" t="s">
        <v>183</v>
      </c>
      <c r="D50" s="198" t="s">
        <v>160</v>
      </c>
      <c r="E50" s="103">
        <v>6791.5</v>
      </c>
      <c r="F50" s="126">
        <v>15</v>
      </c>
      <c r="G50" s="141"/>
      <c r="H50" s="103"/>
      <c r="I50" s="144"/>
      <c r="J50" s="103"/>
      <c r="K50" s="103">
        <f t="shared" ref="K50:K52" si="34">E50-I50</f>
        <v>6791.5</v>
      </c>
      <c r="L50" s="103"/>
      <c r="M50" s="103"/>
      <c r="N50" s="103">
        <v>812.45</v>
      </c>
      <c r="O50" s="103">
        <v>-0.15</v>
      </c>
      <c r="P50" s="156"/>
      <c r="Q50" s="103">
        <f t="shared" ref="Q50" si="35">SUM(N50:P50)+G50</f>
        <v>812.30000000000007</v>
      </c>
      <c r="R50" s="208">
        <f t="shared" ref="R50:R51" si="36">K50-Q50</f>
        <v>5979.2</v>
      </c>
      <c r="S50" s="170">
        <v>412.89499999999998</v>
      </c>
      <c r="T50" s="128"/>
      <c r="U50" s="157"/>
      <c r="V50" s="129">
        <f t="shared" ref="V50" si="37">SUM(S50:U50)</f>
        <v>412.89499999999998</v>
      </c>
      <c r="X50" s="169"/>
    </row>
    <row r="51" spans="1:24" ht="31.5" x14ac:dyDescent="0.35">
      <c r="B51" s="158" t="s">
        <v>157</v>
      </c>
      <c r="C51" s="30" t="s">
        <v>168</v>
      </c>
      <c r="D51" s="198" t="s">
        <v>160</v>
      </c>
      <c r="E51" s="103">
        <v>6791.5</v>
      </c>
      <c r="F51" s="126">
        <v>15</v>
      </c>
      <c r="G51" s="141"/>
      <c r="H51" s="103"/>
      <c r="I51" s="144"/>
      <c r="J51" s="103"/>
      <c r="K51" s="103">
        <f t="shared" si="34"/>
        <v>6791.5</v>
      </c>
      <c r="L51" s="103"/>
      <c r="M51" s="103"/>
      <c r="N51" s="103">
        <v>812.45</v>
      </c>
      <c r="O51" s="103">
        <v>-0.15</v>
      </c>
      <c r="P51" s="156"/>
      <c r="Q51" s="103">
        <f t="shared" ref="Q51:Q52" si="38">SUM(N51:P51)+G51</f>
        <v>812.30000000000007</v>
      </c>
      <c r="R51" s="208">
        <f t="shared" si="36"/>
        <v>5979.2</v>
      </c>
      <c r="S51" s="170">
        <v>412.89499999999998</v>
      </c>
      <c r="T51" s="128"/>
      <c r="U51" s="157"/>
      <c r="V51" s="129">
        <f t="shared" si="33"/>
        <v>412.89499999999998</v>
      </c>
      <c r="X51" s="169"/>
    </row>
    <row r="52" spans="1:24" ht="31.5" x14ac:dyDescent="0.35">
      <c r="B52" s="158" t="s">
        <v>158</v>
      </c>
      <c r="C52" s="30" t="s">
        <v>169</v>
      </c>
      <c r="D52" s="198" t="s">
        <v>160</v>
      </c>
      <c r="E52" s="103">
        <v>6791.5</v>
      </c>
      <c r="F52" s="126">
        <v>15</v>
      </c>
      <c r="G52" s="103"/>
      <c r="H52" s="103"/>
      <c r="I52" s="103"/>
      <c r="J52" s="103"/>
      <c r="K52" s="103">
        <f t="shared" si="34"/>
        <v>6791.5</v>
      </c>
      <c r="L52" s="103"/>
      <c r="M52" s="103"/>
      <c r="N52" s="103">
        <v>812.45</v>
      </c>
      <c r="O52" s="103">
        <v>0.05</v>
      </c>
      <c r="P52" s="156"/>
      <c r="Q52" s="103">
        <f t="shared" si="38"/>
        <v>812.5</v>
      </c>
      <c r="R52" s="208">
        <f>K52-Q52</f>
        <v>5979</v>
      </c>
      <c r="S52" s="170">
        <v>412.89499999999998</v>
      </c>
      <c r="T52" s="128"/>
      <c r="U52" s="157"/>
      <c r="V52" s="129">
        <f t="shared" si="33"/>
        <v>412.89499999999998</v>
      </c>
      <c r="X52" s="169"/>
    </row>
    <row r="53" spans="1:24" ht="18.75" x14ac:dyDescent="0.3">
      <c r="B53" s="138" t="s">
        <v>20</v>
      </c>
      <c r="C53" s="132"/>
      <c r="D53" s="133"/>
      <c r="E53" s="135">
        <f>SUM(E47:E52)</f>
        <v>41819.9</v>
      </c>
      <c r="F53" s="135"/>
      <c r="G53" s="135">
        <f t="shared" ref="G53:Q53" si="39">SUM(G47:G52)</f>
        <v>1751.03</v>
      </c>
      <c r="H53" s="135">
        <f t="shared" si="39"/>
        <v>0</v>
      </c>
      <c r="I53" s="135">
        <f t="shared" si="39"/>
        <v>0</v>
      </c>
      <c r="J53" s="135">
        <f t="shared" si="39"/>
        <v>0</v>
      </c>
      <c r="K53" s="135">
        <f t="shared" si="39"/>
        <v>41819.9</v>
      </c>
      <c r="L53" s="135">
        <f t="shared" si="39"/>
        <v>0</v>
      </c>
      <c r="M53" s="135">
        <f t="shared" si="39"/>
        <v>0</v>
      </c>
      <c r="N53" s="135">
        <f t="shared" si="39"/>
        <v>5103.4299999999994</v>
      </c>
      <c r="O53" s="135">
        <f t="shared" si="39"/>
        <v>-0.18</v>
      </c>
      <c r="P53" s="135">
        <f t="shared" si="39"/>
        <v>2466.2200000000003</v>
      </c>
      <c r="Q53" s="135">
        <f t="shared" si="39"/>
        <v>9320.5</v>
      </c>
      <c r="R53" s="135">
        <f>ROUND(SUM(R47:R52),1)</f>
        <v>32499.4</v>
      </c>
      <c r="S53" s="135">
        <f>SUM(S47:S52)</f>
        <v>2509.2399999999998</v>
      </c>
      <c r="T53" s="135">
        <f>SUM(T47:T52)</f>
        <v>4396.3</v>
      </c>
      <c r="U53" s="135">
        <f>SUM(U47:U52)</f>
        <v>428.91999999999996</v>
      </c>
      <c r="V53" s="135">
        <f>SUM(V47:V52)</f>
        <v>7334.4600000000009</v>
      </c>
      <c r="X53" s="169"/>
    </row>
    <row r="54" spans="1:24" ht="18.75" hidden="1" x14ac:dyDescent="0.3">
      <c r="B54" s="138"/>
      <c r="C54" s="136"/>
      <c r="E54" s="103"/>
      <c r="F54" s="103"/>
      <c r="G54" s="103"/>
      <c r="H54" s="103"/>
      <c r="I54" s="103"/>
      <c r="J54" s="103"/>
      <c r="K54" s="146"/>
      <c r="L54" s="146"/>
      <c r="M54" s="146"/>
      <c r="N54" s="146"/>
      <c r="O54" s="146"/>
      <c r="P54" s="146"/>
      <c r="Q54" s="146"/>
      <c r="R54" s="147"/>
      <c r="S54" s="148"/>
      <c r="T54" s="148"/>
      <c r="U54" s="148"/>
      <c r="V54" s="148"/>
      <c r="X54" s="169"/>
    </row>
    <row r="55" spans="1:24" ht="18.75" hidden="1" x14ac:dyDescent="0.3">
      <c r="B55" s="138" t="s">
        <v>84</v>
      </c>
      <c r="C55" s="31" t="s">
        <v>85</v>
      </c>
      <c r="E55" s="103"/>
      <c r="F55" s="103"/>
      <c r="G55" s="103"/>
      <c r="H55" s="103"/>
      <c r="I55" s="103"/>
      <c r="J55" s="103"/>
      <c r="K55" s="146"/>
      <c r="L55" s="146"/>
      <c r="M55" s="146"/>
      <c r="N55" s="146"/>
      <c r="O55" s="146"/>
      <c r="P55" s="146"/>
      <c r="Q55" s="146"/>
      <c r="R55" s="147"/>
      <c r="S55" s="148"/>
      <c r="T55" s="148"/>
      <c r="U55" s="148"/>
      <c r="V55" s="148"/>
      <c r="X55" s="169"/>
    </row>
    <row r="56" spans="1:24" ht="21" hidden="1" x14ac:dyDescent="0.35">
      <c r="B56" s="102" t="s">
        <v>86</v>
      </c>
      <c r="C56" s="125" t="s">
        <v>30</v>
      </c>
      <c r="D56" s="102" t="s">
        <v>114</v>
      </c>
      <c r="E56" s="103"/>
      <c r="F56" s="126"/>
      <c r="G56" s="127"/>
      <c r="H56" s="103"/>
      <c r="I56" s="103"/>
      <c r="J56" s="103"/>
      <c r="K56" s="103">
        <f>E56-I56</f>
        <v>0</v>
      </c>
      <c r="L56" s="103">
        <v>0</v>
      </c>
      <c r="M56" s="103"/>
      <c r="N56" s="103"/>
      <c r="O56" s="103"/>
      <c r="P56" s="156">
        <f>ROUND(E56*0.115,2)</f>
        <v>0</v>
      </c>
      <c r="Q56" s="103"/>
      <c r="R56" s="190"/>
      <c r="S56" s="29"/>
      <c r="T56" s="128"/>
      <c r="U56" s="157"/>
      <c r="V56" s="129">
        <f t="shared" ref="V56" si="40">SUM(S56:U56)</f>
        <v>0</v>
      </c>
      <c r="X56" s="169"/>
    </row>
    <row r="57" spans="1:24" ht="18.75" hidden="1" x14ac:dyDescent="0.3">
      <c r="B57" s="138" t="s">
        <v>20</v>
      </c>
      <c r="E57" s="135">
        <f>E56</f>
        <v>0</v>
      </c>
      <c r="F57" s="135"/>
      <c r="G57" s="135">
        <f>+G56</f>
        <v>0</v>
      </c>
      <c r="H57" s="135"/>
      <c r="I57" s="135">
        <f>I56</f>
        <v>0</v>
      </c>
      <c r="J57" s="135">
        <f>J56</f>
        <v>0</v>
      </c>
      <c r="K57" s="135">
        <f>K56</f>
        <v>0</v>
      </c>
      <c r="L57" s="135">
        <f t="shared" ref="L57:V57" si="41">L56</f>
        <v>0</v>
      </c>
      <c r="M57" s="135">
        <f t="shared" si="41"/>
        <v>0</v>
      </c>
      <c r="N57" s="135">
        <f>N56</f>
        <v>0</v>
      </c>
      <c r="O57" s="135">
        <f t="shared" si="41"/>
        <v>0</v>
      </c>
      <c r="P57" s="135">
        <f>P56</f>
        <v>0</v>
      </c>
      <c r="Q57" s="135">
        <f t="shared" si="41"/>
        <v>0</v>
      </c>
      <c r="R57" s="135">
        <f>ROUND(R56,1)</f>
        <v>0</v>
      </c>
      <c r="S57" s="135">
        <f>S56</f>
        <v>0</v>
      </c>
      <c r="T57" s="135">
        <f t="shared" si="41"/>
        <v>0</v>
      </c>
      <c r="U57" s="135">
        <f>U56</f>
        <v>0</v>
      </c>
      <c r="V57" s="135">
        <f t="shared" si="41"/>
        <v>0</v>
      </c>
      <c r="X57" s="169"/>
    </row>
    <row r="58" spans="1:24" ht="12" customHeight="1" x14ac:dyDescent="0.3">
      <c r="B58" s="138"/>
      <c r="E58" s="103"/>
      <c r="F58" s="103"/>
      <c r="G58" s="103"/>
      <c r="H58" s="103"/>
      <c r="I58" s="103"/>
      <c r="J58" s="103"/>
      <c r="K58" s="146"/>
      <c r="L58" s="146"/>
      <c r="M58" s="146"/>
      <c r="N58" s="146"/>
      <c r="O58" s="146"/>
      <c r="P58" s="146"/>
      <c r="Q58" s="146"/>
      <c r="R58" s="147"/>
      <c r="S58" s="148"/>
      <c r="T58" s="148"/>
      <c r="U58" s="148"/>
      <c r="V58" s="148"/>
    </row>
    <row r="59" spans="1:24" ht="18.75" hidden="1" x14ac:dyDescent="0.3">
      <c r="R59" s="149"/>
    </row>
    <row r="60" spans="1:24" ht="18.75" x14ac:dyDescent="0.3">
      <c r="C60" s="150" t="s">
        <v>56</v>
      </c>
      <c r="E60" s="151">
        <f>E9+E20+E27+E44+E53+E57</f>
        <v>234544.66</v>
      </c>
      <c r="F60" s="151"/>
      <c r="G60" s="152">
        <f>G9+G20+G27+G44+G53+G57</f>
        <v>19067.059999999998</v>
      </c>
      <c r="H60" s="151"/>
      <c r="I60" s="151">
        <f t="shared" ref="I60:Q60" si="42">I9+I20+I27+I44+I53+I57</f>
        <v>1405.72</v>
      </c>
      <c r="J60" s="151">
        <f t="shared" si="42"/>
        <v>0</v>
      </c>
      <c r="K60" s="151">
        <f t="shared" si="42"/>
        <v>233138.93999999997</v>
      </c>
      <c r="L60" s="151">
        <f t="shared" si="42"/>
        <v>0</v>
      </c>
      <c r="M60" s="151">
        <f t="shared" si="42"/>
        <v>0</v>
      </c>
      <c r="N60" s="151">
        <f t="shared" si="42"/>
        <v>29411.199999999997</v>
      </c>
      <c r="O60" s="151">
        <f t="shared" si="42"/>
        <v>-0.35999999999999993</v>
      </c>
      <c r="P60" s="152">
        <f t="shared" si="42"/>
        <v>22214.260000000002</v>
      </c>
      <c r="Q60" s="151">
        <f t="shared" si="42"/>
        <v>70692.160000000003</v>
      </c>
      <c r="R60" s="153">
        <f>ROUND(+R9+R20+R27+R44+R53+R57,1)</f>
        <v>162446.79999999999</v>
      </c>
      <c r="S60" s="151">
        <f>S9+S20+S27+S44+S53+S57</f>
        <v>13933.99</v>
      </c>
      <c r="T60" s="151">
        <f>T57+T53+T44+T27+T20+T9</f>
        <v>39599.312474999999</v>
      </c>
      <c r="U60" s="152">
        <f>U9+U20+U27+U44+U53+U57</f>
        <v>3863.45</v>
      </c>
      <c r="V60" s="154">
        <f>V9+V20+V27+V44+V53+V57</f>
        <v>57396.752474999994</v>
      </c>
    </row>
    <row r="61" spans="1:24" ht="18.75" x14ac:dyDescent="0.3">
      <c r="S61" s="151"/>
      <c r="T61" s="151"/>
    </row>
    <row r="62" spans="1:24" x14ac:dyDescent="0.25">
      <c r="T62" s="103"/>
      <c r="X62" s="169"/>
    </row>
    <row r="64" spans="1:24" x14ac:dyDescent="0.25">
      <c r="I64" s="169"/>
    </row>
    <row r="69" spans="3:20" ht="16.5" customHeight="1" thickBot="1" x14ac:dyDescent="0.3">
      <c r="E69" s="293"/>
      <c r="F69" s="293"/>
      <c r="G69" s="232"/>
      <c r="H69" s="232"/>
      <c r="P69" s="160"/>
      <c r="Q69" s="293"/>
      <c r="R69" s="293"/>
      <c r="S69" s="293"/>
    </row>
    <row r="70" spans="3:20" ht="15" x14ac:dyDescent="0.25">
      <c r="E70" s="295" t="s">
        <v>91</v>
      </c>
      <c r="F70" s="295"/>
      <c r="G70" s="233"/>
      <c r="H70" s="233"/>
      <c r="P70" s="155"/>
      <c r="Q70" s="300" t="s">
        <v>184</v>
      </c>
      <c r="R70" s="300"/>
      <c r="S70" s="300"/>
      <c r="T70" s="232"/>
    </row>
    <row r="74" spans="3:20" x14ac:dyDescent="0.25">
      <c r="C74" s="102" t="s">
        <v>90</v>
      </c>
    </row>
  </sheetData>
  <mergeCells count="5">
    <mergeCell ref="B4:V4"/>
    <mergeCell ref="E69:F69"/>
    <mergeCell ref="E70:F70"/>
    <mergeCell ref="Q70:S70"/>
    <mergeCell ref="Q69:S69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22B1-4344-485A-9AA7-359A74DB495A}">
  <dimension ref="B3:I48"/>
  <sheetViews>
    <sheetView zoomScale="85" zoomScaleNormal="85" workbookViewId="0">
      <selection activeCell="C17" sqref="C17"/>
    </sheetView>
  </sheetViews>
  <sheetFormatPr baseColWidth="10" defaultRowHeight="15" x14ac:dyDescent="0.25"/>
  <cols>
    <col min="1" max="1" width="0.7109375" style="78" customWidth="1"/>
    <col min="2" max="2" width="17.140625" style="78" customWidth="1"/>
    <col min="3" max="3" width="34.140625" style="78" customWidth="1"/>
    <col min="4" max="4" width="36" style="78" customWidth="1"/>
    <col min="5" max="6" width="19.42578125" style="78" customWidth="1"/>
    <col min="7" max="7" width="16.5703125" style="78" customWidth="1"/>
    <col min="8" max="8" width="18.28515625" style="78" customWidth="1"/>
    <col min="9" max="16384" width="11.42578125" style="78"/>
  </cols>
  <sheetData>
    <row r="3" spans="2:8" x14ac:dyDescent="0.25">
      <c r="E3" s="79"/>
      <c r="F3" s="79"/>
      <c r="G3" s="79"/>
      <c r="H3" s="79"/>
    </row>
    <row r="4" spans="2:8" ht="16.5" customHeight="1" x14ac:dyDescent="0.25">
      <c r="B4" s="301" t="s">
        <v>185</v>
      </c>
      <c r="C4" s="302"/>
      <c r="D4" s="302"/>
      <c r="E4" s="302"/>
      <c r="F4" s="302"/>
      <c r="G4" s="302"/>
      <c r="H4" s="302"/>
    </row>
    <row r="5" spans="2:8" s="83" customFormat="1" ht="39.75" customHeight="1" thickBot="1" x14ac:dyDescent="0.3">
      <c r="B5" s="80" t="s">
        <v>5</v>
      </c>
      <c r="C5" s="81" t="s">
        <v>6</v>
      </c>
      <c r="D5" s="81" t="s">
        <v>0</v>
      </c>
      <c r="E5" s="81" t="s">
        <v>8</v>
      </c>
      <c r="F5" s="82" t="s">
        <v>79</v>
      </c>
      <c r="G5" s="82" t="s">
        <v>11</v>
      </c>
      <c r="H5" s="82" t="s">
        <v>35</v>
      </c>
    </row>
    <row r="6" spans="2:8" ht="15.75" thickTop="1" x14ac:dyDescent="0.25">
      <c r="B6" s="84" t="s">
        <v>13</v>
      </c>
      <c r="C6" s="84" t="s">
        <v>14</v>
      </c>
      <c r="D6" s="84"/>
      <c r="E6" s="79"/>
      <c r="F6" s="79"/>
      <c r="G6" s="79"/>
      <c r="H6" s="79"/>
    </row>
    <row r="7" spans="2:8" x14ac:dyDescent="0.25">
      <c r="B7" s="78" t="s">
        <v>17</v>
      </c>
      <c r="C7" s="85" t="s">
        <v>18</v>
      </c>
      <c r="D7" s="78" t="s">
        <v>2</v>
      </c>
      <c r="E7" s="79">
        <v>4000</v>
      </c>
      <c r="F7" s="79">
        <v>313.8</v>
      </c>
      <c r="G7" s="79">
        <f>+F7</f>
        <v>313.8</v>
      </c>
      <c r="H7" s="86">
        <f>+E7-G7</f>
        <v>3686.2</v>
      </c>
    </row>
    <row r="8" spans="2:8" x14ac:dyDescent="0.25">
      <c r="B8" s="87" t="s">
        <v>20</v>
      </c>
      <c r="C8" s="88"/>
      <c r="D8" s="88"/>
      <c r="E8" s="89">
        <f>SUM(E7:E7)</f>
        <v>4000</v>
      </c>
      <c r="F8" s="89">
        <f>SUM(F7:F7)</f>
        <v>313.8</v>
      </c>
      <c r="G8" s="89">
        <f>SUM(G7:G7)</f>
        <v>313.8</v>
      </c>
      <c r="H8" s="89">
        <f>SUM(H7:H7)</f>
        <v>3686.2</v>
      </c>
    </row>
    <row r="9" spans="2:8" ht="10.5" hidden="1" customHeight="1" x14ac:dyDescent="0.25">
      <c r="E9" s="79"/>
      <c r="F9" s="79"/>
      <c r="G9" s="79"/>
      <c r="H9" s="79"/>
    </row>
    <row r="10" spans="2:8" ht="15.75" x14ac:dyDescent="0.25">
      <c r="B10" s="84" t="s">
        <v>21</v>
      </c>
      <c r="C10" s="90" t="s">
        <v>22</v>
      </c>
      <c r="E10" s="79"/>
      <c r="F10" s="79"/>
      <c r="G10" s="91"/>
      <c r="H10" s="79"/>
    </row>
    <row r="11" spans="2:8" ht="15.75" x14ac:dyDescent="0.25">
      <c r="B11" s="78" t="s">
        <v>25</v>
      </c>
      <c r="C11" s="92" t="s">
        <v>92</v>
      </c>
      <c r="D11" s="78" t="s">
        <v>115</v>
      </c>
      <c r="E11" s="79">
        <v>4000</v>
      </c>
      <c r="F11" s="79">
        <v>313.8</v>
      </c>
      <c r="G11" s="79">
        <f>+F11</f>
        <v>313.8</v>
      </c>
      <c r="H11" s="86">
        <f>+E11-G11</f>
        <v>3686.2</v>
      </c>
    </row>
    <row r="12" spans="2:8" ht="15.75" x14ac:dyDescent="0.25">
      <c r="B12" s="78" t="s">
        <v>27</v>
      </c>
      <c r="C12" s="93" t="s">
        <v>40</v>
      </c>
      <c r="D12" s="78" t="s">
        <v>117</v>
      </c>
      <c r="E12" s="79">
        <v>4000</v>
      </c>
      <c r="F12" s="79">
        <v>313.8</v>
      </c>
      <c r="G12" s="79">
        <f t="shared" ref="G12:G15" si="0">+F12</f>
        <v>313.8</v>
      </c>
      <c r="H12" s="86">
        <f t="shared" ref="H12:H15" si="1">+E12-G12</f>
        <v>3686.2</v>
      </c>
    </row>
    <row r="13" spans="2:8" ht="15.75" x14ac:dyDescent="0.25">
      <c r="B13" s="78" t="s">
        <v>60</v>
      </c>
      <c r="C13" s="93" t="s">
        <v>41</v>
      </c>
      <c r="D13" s="78" t="s">
        <v>118</v>
      </c>
      <c r="E13" s="79">
        <v>4000</v>
      </c>
      <c r="F13" s="79">
        <v>313.8</v>
      </c>
      <c r="G13" s="79">
        <f t="shared" si="0"/>
        <v>313.8</v>
      </c>
      <c r="H13" s="86">
        <f t="shared" si="1"/>
        <v>3686.2</v>
      </c>
    </row>
    <row r="14" spans="2:8" ht="15.75" x14ac:dyDescent="0.25">
      <c r="B14" s="78" t="s">
        <v>61</v>
      </c>
      <c r="C14" s="93" t="s">
        <v>43</v>
      </c>
      <c r="D14" s="78" t="s">
        <v>3</v>
      </c>
      <c r="E14" s="79">
        <v>4000</v>
      </c>
      <c r="F14" s="79">
        <v>313.8</v>
      </c>
      <c r="G14" s="79">
        <f t="shared" si="0"/>
        <v>313.8</v>
      </c>
      <c r="H14" s="86">
        <f t="shared" si="1"/>
        <v>3686.2</v>
      </c>
    </row>
    <row r="15" spans="2:8" ht="15.75" x14ac:dyDescent="0.25">
      <c r="B15" s="78" t="s">
        <v>62</v>
      </c>
      <c r="C15" s="93" t="s">
        <v>42</v>
      </c>
      <c r="D15" s="78" t="s">
        <v>119</v>
      </c>
      <c r="E15" s="79">
        <v>4000</v>
      </c>
      <c r="F15" s="79">
        <v>313.8</v>
      </c>
      <c r="G15" s="79">
        <f t="shared" si="0"/>
        <v>313.8</v>
      </c>
      <c r="H15" s="86">
        <f t="shared" si="1"/>
        <v>3686.2</v>
      </c>
    </row>
    <row r="16" spans="2:8" ht="15.75" x14ac:dyDescent="0.25">
      <c r="B16" s="84" t="s">
        <v>20</v>
      </c>
      <c r="C16" s="90"/>
      <c r="D16" s="88"/>
      <c r="E16" s="89">
        <f>SUM(E11:E15)</f>
        <v>20000</v>
      </c>
      <c r="F16" s="89">
        <f>SUM(F11:F15)</f>
        <v>1569</v>
      </c>
      <c r="G16" s="89">
        <f>SUM(G11:G15)</f>
        <v>1569</v>
      </c>
      <c r="H16" s="89">
        <f>SUM(H11:H15)</f>
        <v>18431</v>
      </c>
    </row>
    <row r="17" spans="2:8" ht="15.75" x14ac:dyDescent="0.25">
      <c r="B17" s="84"/>
      <c r="C17" s="93"/>
      <c r="E17" s="79"/>
      <c r="F17" s="79"/>
      <c r="G17" s="91"/>
      <c r="H17" s="79"/>
    </row>
    <row r="18" spans="2:8" ht="15.75" x14ac:dyDescent="0.25">
      <c r="B18" s="84" t="s">
        <v>31</v>
      </c>
      <c r="C18" s="90" t="s">
        <v>83</v>
      </c>
      <c r="E18" s="79"/>
      <c r="F18" s="79"/>
      <c r="G18" s="91"/>
      <c r="H18" s="94"/>
    </row>
    <row r="19" spans="2:8" ht="15.75" x14ac:dyDescent="0.25">
      <c r="B19" s="78" t="s">
        <v>63</v>
      </c>
      <c r="C19" s="93" t="s">
        <v>110</v>
      </c>
      <c r="D19" s="78" t="s">
        <v>120</v>
      </c>
      <c r="E19" s="79">
        <v>4000</v>
      </c>
      <c r="F19" s="79">
        <v>313.8</v>
      </c>
      <c r="G19" s="79">
        <f t="shared" ref="G19:G22" si="2">+F19</f>
        <v>313.8</v>
      </c>
      <c r="H19" s="86">
        <f t="shared" ref="H19:H22" si="3">+E19-G19</f>
        <v>3686.2</v>
      </c>
    </row>
    <row r="20" spans="2:8" ht="15.75" x14ac:dyDescent="0.25">
      <c r="B20" s="78" t="s">
        <v>112</v>
      </c>
      <c r="C20" s="93" t="s">
        <v>113</v>
      </c>
      <c r="D20" s="78" t="s">
        <v>121</v>
      </c>
      <c r="E20" s="79">
        <v>4000</v>
      </c>
      <c r="F20" s="79">
        <v>313.8</v>
      </c>
      <c r="G20" s="79">
        <f t="shared" si="2"/>
        <v>313.8</v>
      </c>
      <c r="H20" s="86">
        <f t="shared" si="3"/>
        <v>3686.2</v>
      </c>
    </row>
    <row r="21" spans="2:8" ht="15.75" x14ac:dyDescent="0.25">
      <c r="B21" s="78" t="s">
        <v>64</v>
      </c>
      <c r="C21" s="93" t="s">
        <v>45</v>
      </c>
      <c r="D21" s="78" t="s">
        <v>122</v>
      </c>
      <c r="E21" s="79">
        <v>4000</v>
      </c>
      <c r="F21" s="79">
        <v>313.8</v>
      </c>
      <c r="G21" s="79">
        <f t="shared" si="2"/>
        <v>313.8</v>
      </c>
      <c r="H21" s="86">
        <f t="shared" si="3"/>
        <v>3686.2</v>
      </c>
    </row>
    <row r="22" spans="2:8" ht="15.75" x14ac:dyDescent="0.25">
      <c r="B22" s="78" t="s">
        <v>65</v>
      </c>
      <c r="C22" s="93" t="s">
        <v>59</v>
      </c>
      <c r="D22" s="78" t="s">
        <v>121</v>
      </c>
      <c r="E22" s="79">
        <v>4000</v>
      </c>
      <c r="F22" s="79">
        <v>313.8</v>
      </c>
      <c r="G22" s="79">
        <f t="shared" si="2"/>
        <v>313.8</v>
      </c>
      <c r="H22" s="86">
        <f t="shared" si="3"/>
        <v>3686.2</v>
      </c>
    </row>
    <row r="23" spans="2:8" ht="15.75" x14ac:dyDescent="0.25">
      <c r="B23" s="84" t="s">
        <v>20</v>
      </c>
      <c r="C23" s="90"/>
      <c r="D23" s="88"/>
      <c r="E23" s="89">
        <f>SUM(E19:E22)</f>
        <v>16000</v>
      </c>
      <c r="F23" s="89">
        <f t="shared" ref="F23:H23" si="4">SUM(F19:F22)</f>
        <v>1255.2</v>
      </c>
      <c r="G23" s="89">
        <f t="shared" si="4"/>
        <v>1255.2</v>
      </c>
      <c r="H23" s="89">
        <f t="shared" si="4"/>
        <v>14744.8</v>
      </c>
    </row>
    <row r="24" spans="2:8" ht="15.75" x14ac:dyDescent="0.25">
      <c r="C24" s="93"/>
      <c r="E24" s="79"/>
      <c r="F24" s="79"/>
      <c r="G24" s="91"/>
      <c r="H24" s="79"/>
    </row>
    <row r="25" spans="2:8" ht="15.75" x14ac:dyDescent="0.25">
      <c r="B25" s="84" t="s">
        <v>33</v>
      </c>
      <c r="C25" s="90" t="s">
        <v>32</v>
      </c>
      <c r="E25" s="79"/>
      <c r="F25" s="79"/>
      <c r="G25" s="91"/>
      <c r="H25" s="79"/>
    </row>
    <row r="26" spans="2:8" ht="15.75" x14ac:dyDescent="0.25">
      <c r="B26" s="78" t="s">
        <v>66</v>
      </c>
      <c r="C26" s="93" t="s">
        <v>49</v>
      </c>
      <c r="D26" s="78" t="s">
        <v>38</v>
      </c>
      <c r="E26" s="234">
        <v>4000</v>
      </c>
      <c r="F26" s="79">
        <v>313.8</v>
      </c>
      <c r="G26" s="79">
        <f t="shared" ref="G26:G35" si="5">+F26</f>
        <v>313.8</v>
      </c>
      <c r="H26" s="86">
        <f t="shared" ref="H26:H35" si="6">+E26-G26</f>
        <v>3686.2</v>
      </c>
    </row>
    <row r="27" spans="2:8" ht="15.75" x14ac:dyDescent="0.25">
      <c r="B27" s="78" t="s">
        <v>67</v>
      </c>
      <c r="C27" s="93" t="s">
        <v>51</v>
      </c>
      <c r="D27" s="78" t="s">
        <v>38</v>
      </c>
      <c r="E27" s="79">
        <v>4000</v>
      </c>
      <c r="F27" s="79">
        <v>313.8</v>
      </c>
      <c r="G27" s="79">
        <f t="shared" si="5"/>
        <v>313.8</v>
      </c>
      <c r="H27" s="86">
        <f t="shared" si="6"/>
        <v>3686.2</v>
      </c>
    </row>
    <row r="28" spans="2:8" ht="15.75" x14ac:dyDescent="0.25">
      <c r="B28" s="78" t="s">
        <v>77</v>
      </c>
      <c r="C28" s="93" t="s">
        <v>111</v>
      </c>
      <c r="D28" s="78" t="s">
        <v>127</v>
      </c>
      <c r="E28" s="234">
        <v>4000</v>
      </c>
      <c r="F28" s="79">
        <v>313.8</v>
      </c>
      <c r="G28" s="79">
        <f t="shared" si="5"/>
        <v>313.8</v>
      </c>
      <c r="H28" s="86">
        <f t="shared" si="6"/>
        <v>3686.2</v>
      </c>
    </row>
    <row r="29" spans="2:8" ht="15.75" x14ac:dyDescent="0.25">
      <c r="B29" s="78" t="s">
        <v>70</v>
      </c>
      <c r="C29" s="93" t="s">
        <v>46</v>
      </c>
      <c r="D29" s="78" t="s">
        <v>124</v>
      </c>
      <c r="E29" s="79">
        <v>4000</v>
      </c>
      <c r="F29" s="79">
        <v>313.8</v>
      </c>
      <c r="G29" s="79">
        <f t="shared" si="5"/>
        <v>313.8</v>
      </c>
      <c r="H29" s="86">
        <f t="shared" si="6"/>
        <v>3686.2</v>
      </c>
    </row>
    <row r="30" spans="2:8" ht="15.75" x14ac:dyDescent="0.25">
      <c r="B30" s="78" t="s">
        <v>71</v>
      </c>
      <c r="C30" s="93" t="s">
        <v>50</v>
      </c>
      <c r="D30" s="78" t="s">
        <v>124</v>
      </c>
      <c r="E30" s="234">
        <v>4000</v>
      </c>
      <c r="F30" s="79">
        <v>313.8</v>
      </c>
      <c r="G30" s="79">
        <f t="shared" si="5"/>
        <v>313.8</v>
      </c>
      <c r="H30" s="86">
        <f t="shared" si="6"/>
        <v>3686.2</v>
      </c>
    </row>
    <row r="31" spans="2:8" ht="15.75" x14ac:dyDescent="0.25">
      <c r="B31" s="78" t="s">
        <v>72</v>
      </c>
      <c r="C31" s="93" t="s">
        <v>52</v>
      </c>
      <c r="D31" s="78" t="s">
        <v>124</v>
      </c>
      <c r="E31" s="79">
        <v>4000</v>
      </c>
      <c r="F31" s="79">
        <v>313.8</v>
      </c>
      <c r="G31" s="79">
        <f t="shared" si="5"/>
        <v>313.8</v>
      </c>
      <c r="H31" s="86">
        <f t="shared" si="6"/>
        <v>3686.2</v>
      </c>
    </row>
    <row r="32" spans="2:8" ht="15.75" x14ac:dyDescent="0.25">
      <c r="B32" s="78" t="s">
        <v>73</v>
      </c>
      <c r="C32" s="93" t="s">
        <v>47</v>
      </c>
      <c r="D32" s="78" t="s">
        <v>125</v>
      </c>
      <c r="E32" s="234">
        <v>4000</v>
      </c>
      <c r="F32" s="79">
        <v>313.8</v>
      </c>
      <c r="G32" s="79">
        <f t="shared" si="5"/>
        <v>313.8</v>
      </c>
      <c r="H32" s="86">
        <f t="shared" si="6"/>
        <v>3686.2</v>
      </c>
    </row>
    <row r="33" spans="2:9" ht="15.75" x14ac:dyDescent="0.25">
      <c r="B33" s="78" t="s">
        <v>74</v>
      </c>
      <c r="C33" s="93" t="s">
        <v>53</v>
      </c>
      <c r="D33" s="78" t="s">
        <v>125</v>
      </c>
      <c r="E33" s="79">
        <v>4000</v>
      </c>
      <c r="F33" s="79">
        <v>313.8</v>
      </c>
      <c r="G33" s="79">
        <f t="shared" si="5"/>
        <v>313.8</v>
      </c>
      <c r="H33" s="86">
        <f t="shared" si="6"/>
        <v>3686.2</v>
      </c>
    </row>
    <row r="34" spans="2:9" ht="15.75" x14ac:dyDescent="0.25">
      <c r="B34" s="78" t="s">
        <v>75</v>
      </c>
      <c r="C34" s="93" t="s">
        <v>39</v>
      </c>
      <c r="D34" s="78" t="s">
        <v>126</v>
      </c>
      <c r="E34" s="234">
        <v>4000</v>
      </c>
      <c r="F34" s="79">
        <v>313.8</v>
      </c>
      <c r="G34" s="79">
        <f t="shared" si="5"/>
        <v>313.8</v>
      </c>
      <c r="H34" s="86">
        <f t="shared" si="6"/>
        <v>3686.2</v>
      </c>
    </row>
    <row r="35" spans="2:9" ht="15.75" x14ac:dyDescent="0.25">
      <c r="B35" s="78" t="s">
        <v>76</v>
      </c>
      <c r="C35" s="93" t="s">
        <v>54</v>
      </c>
      <c r="D35" s="78" t="s">
        <v>126</v>
      </c>
      <c r="E35" s="79">
        <v>4000</v>
      </c>
      <c r="F35" s="79">
        <v>313.8</v>
      </c>
      <c r="G35" s="79">
        <f t="shared" si="5"/>
        <v>313.8</v>
      </c>
      <c r="H35" s="86">
        <f t="shared" si="6"/>
        <v>3686.2</v>
      </c>
    </row>
    <row r="36" spans="2:9" ht="15.75" x14ac:dyDescent="0.25">
      <c r="B36" s="84" t="s">
        <v>20</v>
      </c>
      <c r="C36" s="90"/>
      <c r="D36" s="88"/>
      <c r="E36" s="89">
        <f>SUM(E26:E35)</f>
        <v>40000</v>
      </c>
      <c r="F36" s="89">
        <f t="shared" ref="F36:H36" si="7">SUM(F26:F35)</f>
        <v>3138.0000000000005</v>
      </c>
      <c r="G36" s="89">
        <f t="shared" si="7"/>
        <v>3138.0000000000005</v>
      </c>
      <c r="H36" s="89">
        <f t="shared" si="7"/>
        <v>36862</v>
      </c>
    </row>
    <row r="37" spans="2:9" ht="15.75" x14ac:dyDescent="0.25">
      <c r="C37" s="93"/>
      <c r="E37" s="79"/>
      <c r="F37" s="79"/>
      <c r="G37" s="91"/>
      <c r="H37" s="79"/>
    </row>
    <row r="38" spans="2:9" ht="15.75" x14ac:dyDescent="0.25">
      <c r="B38" s="84" t="s">
        <v>78</v>
      </c>
      <c r="C38" s="90" t="s">
        <v>34</v>
      </c>
      <c r="E38" s="79"/>
      <c r="F38" s="79"/>
      <c r="G38" s="91"/>
      <c r="H38" s="79"/>
    </row>
    <row r="39" spans="2:9" ht="15.75" x14ac:dyDescent="0.25">
      <c r="B39" s="78" t="s">
        <v>81</v>
      </c>
      <c r="C39" s="93" t="s">
        <v>44</v>
      </c>
      <c r="D39" s="78" t="s">
        <v>128</v>
      </c>
      <c r="E39" s="79">
        <v>4000</v>
      </c>
      <c r="F39" s="79">
        <v>313.8</v>
      </c>
      <c r="G39" s="79">
        <f t="shared" ref="G39:G40" si="8">+F39</f>
        <v>313.8</v>
      </c>
      <c r="H39" s="86">
        <f t="shared" ref="H39:H40" si="9">+E39-G39</f>
        <v>3686.2</v>
      </c>
    </row>
    <row r="40" spans="2:9" ht="15.75" x14ac:dyDescent="0.25">
      <c r="B40" s="78" t="s">
        <v>107</v>
      </c>
      <c r="C40" s="93" t="s">
        <v>108</v>
      </c>
      <c r="D40" s="78" t="s">
        <v>109</v>
      </c>
      <c r="E40" s="79">
        <v>4000</v>
      </c>
      <c r="F40" s="79">
        <v>313.8</v>
      </c>
      <c r="G40" s="79">
        <f t="shared" si="8"/>
        <v>313.8</v>
      </c>
      <c r="H40" s="86">
        <f t="shared" si="9"/>
        <v>3686.2</v>
      </c>
    </row>
    <row r="41" spans="2:9" ht="15.75" x14ac:dyDescent="0.25">
      <c r="B41" s="84" t="s">
        <v>20</v>
      </c>
      <c r="C41" s="90"/>
      <c r="D41" s="88"/>
      <c r="E41" s="89">
        <f>E39+E40</f>
        <v>8000</v>
      </c>
      <c r="F41" s="89">
        <f t="shared" ref="F41:H41" si="10">F39+F40</f>
        <v>627.6</v>
      </c>
      <c r="G41" s="89">
        <f t="shared" si="10"/>
        <v>627.6</v>
      </c>
      <c r="H41" s="89">
        <f t="shared" si="10"/>
        <v>7372.4</v>
      </c>
    </row>
    <row r="42" spans="2:9" ht="15.75" x14ac:dyDescent="0.25">
      <c r="B42" s="84"/>
      <c r="C42" s="93"/>
      <c r="E42" s="79"/>
      <c r="F42" s="79"/>
      <c r="G42" s="91"/>
      <c r="H42" s="95"/>
    </row>
    <row r="44" spans="2:9" ht="18.75" x14ac:dyDescent="0.3">
      <c r="C44" s="96" t="s">
        <v>56</v>
      </c>
      <c r="E44" s="97">
        <f>+E41+E36+E23+E16+E8</f>
        <v>88000</v>
      </c>
      <c r="F44" s="97">
        <f>+F41+F36+F23+F16+F8</f>
        <v>6903.6</v>
      </c>
      <c r="G44" s="97">
        <f>+G41+G36+G23+G16+G8</f>
        <v>6903.6</v>
      </c>
      <c r="H44" s="97">
        <f>+H41+H36+H23+H16+H8</f>
        <v>81096.399999999994</v>
      </c>
    </row>
    <row r="45" spans="2:9" ht="18.75" x14ac:dyDescent="0.3">
      <c r="C45" s="96"/>
      <c r="E45" s="97"/>
      <c r="F45" s="97"/>
      <c r="G45" s="97"/>
      <c r="H45" s="97"/>
    </row>
    <row r="47" spans="2:9" ht="15.75" thickBot="1" x14ac:dyDescent="0.3">
      <c r="C47" s="98"/>
      <c r="D47" s="99"/>
      <c r="E47" s="293"/>
      <c r="F47" s="293"/>
      <c r="G47" s="293"/>
      <c r="I47" s="99"/>
    </row>
    <row r="48" spans="2:9" x14ac:dyDescent="0.25">
      <c r="C48" s="100" t="s">
        <v>91</v>
      </c>
      <c r="D48" s="100"/>
      <c r="E48" s="300" t="s">
        <v>184</v>
      </c>
      <c r="F48" s="300"/>
      <c r="G48" s="300"/>
      <c r="I48" s="101"/>
    </row>
  </sheetData>
  <mergeCells count="3">
    <mergeCell ref="B4:H4"/>
    <mergeCell ref="E47:G47"/>
    <mergeCell ref="E48:G48"/>
  </mergeCells>
  <pageMargins left="0.51181102362204722" right="0.51181102362204722" top="0.15748031496062992" bottom="0.35433070866141736" header="0.31496062992125984" footer="0.31496062992125984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B3:X68"/>
  <sheetViews>
    <sheetView topLeftCell="A5" zoomScale="87" zoomScaleNormal="87" workbookViewId="0">
      <selection activeCell="E15" sqref="E15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2.28515625" style="102" customWidth="1"/>
    <col min="8" max="8" width="14.140625" style="102" hidden="1" customWidth="1"/>
    <col min="9" max="10" width="13.28515625" style="102" hidden="1" customWidth="1"/>
    <col min="11" max="11" width="13.28515625" style="102" customWidth="1"/>
    <col min="12" max="12" width="9.42578125" style="102" hidden="1" customWidth="1"/>
    <col min="13" max="13" width="14.42578125" style="102" hidden="1" customWidth="1"/>
    <col min="14" max="14" width="12.7109375" style="102" bestFit="1" customWidth="1"/>
    <col min="15" max="15" width="11.42578125" style="102" hidden="1" customWidth="1"/>
    <col min="16" max="16" width="12.85546875" style="102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4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4" ht="16.5" customHeight="1" x14ac:dyDescent="0.25">
      <c r="B4" s="291" t="s">
        <v>140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4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112" t="s">
        <v>87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4" x14ac:dyDescent="0.25">
      <c r="B6" s="121" t="s">
        <v>13</v>
      </c>
      <c r="C6" s="122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4" ht="21" x14ac:dyDescent="0.35">
      <c r="B7" s="102" t="s">
        <v>15</v>
      </c>
      <c r="C7" s="179" t="s">
        <v>16</v>
      </c>
      <c r="D7" s="102" t="s">
        <v>19</v>
      </c>
      <c r="E7" s="103">
        <v>19461.365000000002</v>
      </c>
      <c r="F7" s="126">
        <v>15</v>
      </c>
      <c r="G7" s="141"/>
      <c r="H7" s="103"/>
      <c r="I7" s="103"/>
      <c r="J7" s="103"/>
      <c r="K7" s="103">
        <f>E7-I7</f>
        <v>19461.365000000002</v>
      </c>
      <c r="L7" s="103">
        <v>0</v>
      </c>
      <c r="M7" s="103">
        <v>4023.06</v>
      </c>
      <c r="N7" s="103">
        <f>M7-L7</f>
        <v>4023.06</v>
      </c>
      <c r="O7" s="103">
        <v>-0.15</v>
      </c>
      <c r="P7" s="156">
        <f>ROUND(E7*0.115,2)</f>
        <v>2238.06</v>
      </c>
      <c r="Q7" s="103">
        <f>SUM(N7:P7)+G7</f>
        <v>6260.9699999999993</v>
      </c>
      <c r="R7" s="171">
        <f>K7-Q7</f>
        <v>13200.395000000002</v>
      </c>
      <c r="S7" s="170">
        <v>780.06561494516893</v>
      </c>
      <c r="T7" s="128">
        <f>+E7*17.5%+E7*3%</f>
        <v>3989.5798249999998</v>
      </c>
      <c r="U7" s="157">
        <f>ROUND(+E7*2%,2)</f>
        <v>389.23</v>
      </c>
      <c r="V7" s="129">
        <f>SUM(S7:U7)</f>
        <v>5158.8754399451682</v>
      </c>
      <c r="X7" s="169"/>
    </row>
    <row r="8" spans="2:24" ht="21" x14ac:dyDescent="0.35">
      <c r="B8" s="102" t="s">
        <v>17</v>
      </c>
      <c r="C8" s="179" t="s">
        <v>18</v>
      </c>
      <c r="D8" s="102" t="s">
        <v>2</v>
      </c>
      <c r="E8" s="103">
        <v>6247.33</v>
      </c>
      <c r="F8" s="126">
        <v>15</v>
      </c>
      <c r="G8" s="168">
        <v>1000</v>
      </c>
      <c r="H8" s="103"/>
      <c r="I8" s="130"/>
      <c r="J8" s="103"/>
      <c r="K8" s="103">
        <f>E8-I8</f>
        <v>6247.33</v>
      </c>
      <c r="L8" s="103">
        <v>0</v>
      </c>
      <c r="M8" s="103">
        <v>787.17</v>
      </c>
      <c r="N8" s="103">
        <f>M8-L8</f>
        <v>787.17</v>
      </c>
      <c r="O8" s="103">
        <v>-0.08</v>
      </c>
      <c r="P8" s="156">
        <f>ROUND(E8*0.115,2)</f>
        <v>718.44</v>
      </c>
      <c r="Q8" s="103">
        <f>SUM(N8:P8)+G8</f>
        <v>2505.5299999999997</v>
      </c>
      <c r="R8" s="171">
        <f>K8-Q8</f>
        <v>3741.8</v>
      </c>
      <c r="S8" s="170">
        <v>409.18406020865751</v>
      </c>
      <c r="T8" s="128">
        <f>+E8*17.5%+E8*3%</f>
        <v>1280.7026499999997</v>
      </c>
      <c r="U8" s="157">
        <f>ROUND(+E8*2%,2)</f>
        <v>124.95</v>
      </c>
      <c r="V8" s="129">
        <f>SUM(S8:U8)</f>
        <v>1814.8367102086572</v>
      </c>
      <c r="X8" s="169"/>
    </row>
    <row r="9" spans="2:24" ht="18.75" x14ac:dyDescent="0.3">
      <c r="B9" s="131" t="s">
        <v>20</v>
      </c>
      <c r="C9" s="132"/>
      <c r="D9" s="133"/>
      <c r="E9" s="134">
        <f>SUM(E7:E8)</f>
        <v>25708.695</v>
      </c>
      <c r="F9" s="134"/>
      <c r="G9" s="134">
        <f>+G8+G7</f>
        <v>1000</v>
      </c>
      <c r="H9" s="134"/>
      <c r="I9" s="134">
        <f t="shared" ref="I9:V9" si="0">SUM(I7:I8)</f>
        <v>0</v>
      </c>
      <c r="J9" s="134">
        <f t="shared" si="0"/>
        <v>0</v>
      </c>
      <c r="K9" s="134">
        <f t="shared" si="0"/>
        <v>25708.695</v>
      </c>
      <c r="L9" s="134">
        <f t="shared" si="0"/>
        <v>0</v>
      </c>
      <c r="M9" s="134">
        <f>SUM(M7:M8)</f>
        <v>4810.2299999999996</v>
      </c>
      <c r="N9" s="134">
        <f t="shared" si="0"/>
        <v>4810.2299999999996</v>
      </c>
      <c r="O9" s="134">
        <f t="shared" si="0"/>
        <v>-0.22999999999999998</v>
      </c>
      <c r="P9" s="134">
        <f>SUM(P7:P8)</f>
        <v>2956.5</v>
      </c>
      <c r="Q9" s="134">
        <f t="shared" si="0"/>
        <v>8766.5</v>
      </c>
      <c r="R9" s="135">
        <f>SUM(R7:R8)</f>
        <v>16942.195000000003</v>
      </c>
      <c r="S9" s="134">
        <f t="shared" si="0"/>
        <v>1189.2496751538265</v>
      </c>
      <c r="T9" s="134">
        <f t="shared" si="0"/>
        <v>5270.282475</v>
      </c>
      <c r="U9" s="134">
        <f>SUM(U7:U8)</f>
        <v>514.18000000000006</v>
      </c>
      <c r="V9" s="134">
        <f t="shared" si="0"/>
        <v>6973.7121501538259</v>
      </c>
      <c r="X9" s="169"/>
    </row>
    <row r="10" spans="2:24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4" ht="18.75" x14ac:dyDescent="0.3">
      <c r="B11" s="138" t="s">
        <v>21</v>
      </c>
      <c r="C11" s="132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4" ht="21" x14ac:dyDescent="0.35">
      <c r="B12" s="102" t="s">
        <v>23</v>
      </c>
      <c r="C12" s="179" t="s">
        <v>28</v>
      </c>
      <c r="D12" s="102" t="s">
        <v>114</v>
      </c>
      <c r="E12" s="103">
        <v>13000</v>
      </c>
      <c r="F12" s="126">
        <v>15</v>
      </c>
      <c r="G12" s="168">
        <v>3394</v>
      </c>
      <c r="H12" s="103"/>
      <c r="I12" s="103"/>
      <c r="J12" s="103"/>
      <c r="K12" s="103">
        <f t="shared" ref="K12:K18" si="1">E12-I12</f>
        <v>13000</v>
      </c>
      <c r="L12" s="103">
        <v>0</v>
      </c>
      <c r="M12" s="103">
        <v>2288.9699999999998</v>
      </c>
      <c r="N12" s="103">
        <f t="shared" ref="N12:N19" si="2">M12-L12</f>
        <v>2288.9699999999998</v>
      </c>
      <c r="O12" s="103">
        <v>0.03</v>
      </c>
      <c r="P12" s="156">
        <f t="shared" ref="P12:P19" si="3">ROUND(E12*0.115,2)</f>
        <v>1495</v>
      </c>
      <c r="Q12" s="103">
        <f t="shared" ref="Q12:Q19" si="4">SUM(N12:P12)+G12</f>
        <v>7178</v>
      </c>
      <c r="R12" s="171">
        <f t="shared" ref="R12:R19" si="5">K12-Q12</f>
        <v>5822</v>
      </c>
      <c r="S12" s="29">
        <v>598.71347263900634</v>
      </c>
      <c r="T12" s="128">
        <f>ROUND(+E12*17.5%,2)+ROUND(E12*3%,2)</f>
        <v>2665</v>
      </c>
      <c r="U12" s="157">
        <f t="shared" ref="U12:U19" si="6">ROUND(+E12*2%,2)</f>
        <v>260</v>
      </c>
      <c r="V12" s="129">
        <f t="shared" ref="V12:V19" si="7">SUM(S12:U12)</f>
        <v>3523.7134726390063</v>
      </c>
      <c r="X12" s="169"/>
    </row>
    <row r="13" spans="2:24" ht="21" x14ac:dyDescent="0.35">
      <c r="B13" s="102" t="s">
        <v>24</v>
      </c>
      <c r="C13" s="179" t="s">
        <v>29</v>
      </c>
      <c r="D13" s="102" t="s">
        <v>116</v>
      </c>
      <c r="E13" s="103">
        <v>7000.8</v>
      </c>
      <c r="F13" s="126">
        <v>15</v>
      </c>
      <c r="G13" s="103"/>
      <c r="H13" s="103"/>
      <c r="I13" s="139"/>
      <c r="J13" s="140"/>
      <c r="K13" s="103">
        <f>E13-I13</f>
        <v>7000.8</v>
      </c>
      <c r="L13" s="103">
        <v>0</v>
      </c>
      <c r="M13" s="103">
        <v>948.11</v>
      </c>
      <c r="N13" s="103">
        <f t="shared" si="2"/>
        <v>948.11</v>
      </c>
      <c r="O13" s="103">
        <v>0</v>
      </c>
      <c r="P13" s="156">
        <f t="shared" si="3"/>
        <v>805.09</v>
      </c>
      <c r="Q13" s="103">
        <f t="shared" si="4"/>
        <v>1753.2</v>
      </c>
      <c r="R13" s="171">
        <f t="shared" si="5"/>
        <v>5247.6</v>
      </c>
      <c r="S13" s="29">
        <v>430.3321725987945</v>
      </c>
      <c r="T13" s="128">
        <f t="shared" ref="T13:T19" si="8">ROUND(+E13*17.5%,2)+ROUND(E13*3%,2)</f>
        <v>1435.16</v>
      </c>
      <c r="U13" s="157">
        <f t="shared" si="6"/>
        <v>140.02000000000001</v>
      </c>
      <c r="V13" s="129">
        <f t="shared" si="7"/>
        <v>2005.5121725987947</v>
      </c>
      <c r="X13" s="169"/>
    </row>
    <row r="14" spans="2:24" ht="21" x14ac:dyDescent="0.35">
      <c r="B14" s="102" t="s">
        <v>25</v>
      </c>
      <c r="C14" s="179" t="s">
        <v>92</v>
      </c>
      <c r="D14" s="102" t="s">
        <v>115</v>
      </c>
      <c r="E14" s="103">
        <v>7000.8</v>
      </c>
      <c r="F14" s="126">
        <v>15</v>
      </c>
      <c r="G14" s="103"/>
      <c r="H14" s="141"/>
      <c r="I14" s="139"/>
      <c r="J14" s="140"/>
      <c r="K14" s="103">
        <f>E14-I14</f>
        <v>7000.8</v>
      </c>
      <c r="L14" s="103">
        <v>0</v>
      </c>
      <c r="M14" s="103">
        <v>948.11</v>
      </c>
      <c r="N14" s="103">
        <f t="shared" si="2"/>
        <v>948.11</v>
      </c>
      <c r="O14" s="103">
        <v>0</v>
      </c>
      <c r="P14" s="156">
        <f>ROUND(E14*0.115,2)</f>
        <v>805.09</v>
      </c>
      <c r="Q14" s="103">
        <f>SUM(N14:P14)+G14</f>
        <v>1753.2</v>
      </c>
      <c r="R14" s="171">
        <f>K14-Q14</f>
        <v>5247.6</v>
      </c>
      <c r="S14" s="29">
        <v>430.3321725987945</v>
      </c>
      <c r="T14" s="128">
        <f t="shared" si="8"/>
        <v>1435.16</v>
      </c>
      <c r="U14" s="157">
        <f t="shared" si="6"/>
        <v>140.02000000000001</v>
      </c>
      <c r="V14" s="129">
        <f t="shared" si="7"/>
        <v>2005.5121725987947</v>
      </c>
      <c r="X14" s="169"/>
    </row>
    <row r="15" spans="2:24" ht="21" x14ac:dyDescent="0.35">
      <c r="B15" s="102" t="s">
        <v>26</v>
      </c>
      <c r="C15" s="179" t="s">
        <v>58</v>
      </c>
      <c r="D15" s="102" t="s">
        <v>37</v>
      </c>
      <c r="E15" s="103">
        <v>7443.8</v>
      </c>
      <c r="F15" s="126">
        <v>15</v>
      </c>
      <c r="G15" s="103"/>
      <c r="H15" s="103"/>
      <c r="I15" s="139"/>
      <c r="J15" s="103"/>
      <c r="K15" s="103">
        <f t="shared" si="1"/>
        <v>7443.8</v>
      </c>
      <c r="L15" s="103">
        <v>0</v>
      </c>
      <c r="M15" s="103">
        <v>1042.73</v>
      </c>
      <c r="N15" s="103">
        <f t="shared" si="2"/>
        <v>1042.73</v>
      </c>
      <c r="O15" s="103">
        <v>0.03</v>
      </c>
      <c r="P15" s="156">
        <f t="shared" si="3"/>
        <v>856.04</v>
      </c>
      <c r="Q15" s="103">
        <f t="shared" si="4"/>
        <v>1898.8</v>
      </c>
      <c r="R15" s="171">
        <f t="shared" si="5"/>
        <v>5545</v>
      </c>
      <c r="S15" s="29">
        <v>442.76562804748858</v>
      </c>
      <c r="T15" s="128">
        <f t="shared" si="8"/>
        <v>1525.98</v>
      </c>
      <c r="U15" s="157">
        <f t="shared" si="6"/>
        <v>148.88</v>
      </c>
      <c r="V15" s="129">
        <f t="shared" si="7"/>
        <v>2117.6256280474886</v>
      </c>
      <c r="X15" s="169"/>
    </row>
    <row r="16" spans="2:24" ht="21" x14ac:dyDescent="0.35">
      <c r="B16" s="102" t="s">
        <v>27</v>
      </c>
      <c r="C16" s="179" t="s">
        <v>40</v>
      </c>
      <c r="D16" s="102" t="s">
        <v>117</v>
      </c>
      <c r="E16" s="103">
        <v>4918.3649999999998</v>
      </c>
      <c r="F16" s="126">
        <v>15</v>
      </c>
      <c r="G16" s="168">
        <v>1314</v>
      </c>
      <c r="H16" s="103"/>
      <c r="I16" s="139"/>
      <c r="J16" s="103"/>
      <c r="K16" s="103">
        <f>E16-I16</f>
        <v>4918.3649999999998</v>
      </c>
      <c r="L16" s="103">
        <v>0</v>
      </c>
      <c r="M16" s="103">
        <v>508.91</v>
      </c>
      <c r="N16" s="103">
        <f t="shared" si="2"/>
        <v>508.91</v>
      </c>
      <c r="O16" s="103">
        <v>0.05</v>
      </c>
      <c r="P16" s="156">
        <f>ROUND(E16*0.115,2)</f>
        <v>565.61</v>
      </c>
      <c r="Q16" s="103">
        <f>SUM(N16:P16)+G16</f>
        <v>2388.5700000000002</v>
      </c>
      <c r="R16" s="171">
        <f t="shared" si="5"/>
        <v>2529.7949999999996</v>
      </c>
      <c r="S16" s="29">
        <v>371.88369386257529</v>
      </c>
      <c r="T16" s="128">
        <f t="shared" si="8"/>
        <v>1008.26</v>
      </c>
      <c r="U16" s="157">
        <f t="shared" si="6"/>
        <v>98.37</v>
      </c>
      <c r="V16" s="129">
        <f t="shared" si="7"/>
        <v>1478.5136938625751</v>
      </c>
      <c r="X16" s="169"/>
    </row>
    <row r="17" spans="2:24" ht="21" x14ac:dyDescent="0.35">
      <c r="B17" s="102" t="s">
        <v>60</v>
      </c>
      <c r="C17" s="179" t="s">
        <v>41</v>
      </c>
      <c r="D17" s="102" t="s">
        <v>118</v>
      </c>
      <c r="E17" s="103">
        <v>4918.3649999999998</v>
      </c>
      <c r="F17" s="126">
        <v>15</v>
      </c>
      <c r="G17" s="168">
        <v>1106.6199999999999</v>
      </c>
      <c r="H17" s="103"/>
      <c r="I17" s="139"/>
      <c r="J17" s="103"/>
      <c r="K17" s="103">
        <f>E17-I17</f>
        <v>4918.3649999999998</v>
      </c>
      <c r="L17" s="103">
        <v>0</v>
      </c>
      <c r="M17" s="103">
        <v>508.91</v>
      </c>
      <c r="N17" s="103">
        <f t="shared" si="2"/>
        <v>508.91</v>
      </c>
      <c r="O17" s="103">
        <v>-0.17</v>
      </c>
      <c r="P17" s="156">
        <f t="shared" si="3"/>
        <v>565.61</v>
      </c>
      <c r="Q17" s="103">
        <f>SUM(N17:P17)+G17</f>
        <v>2180.9699999999998</v>
      </c>
      <c r="R17" s="171">
        <f>K17-Q17</f>
        <v>2737.395</v>
      </c>
      <c r="S17" s="29">
        <v>371.88369386257529</v>
      </c>
      <c r="T17" s="128">
        <f t="shared" si="8"/>
        <v>1008.26</v>
      </c>
      <c r="U17" s="157">
        <f t="shared" si="6"/>
        <v>98.37</v>
      </c>
      <c r="V17" s="129">
        <f t="shared" si="7"/>
        <v>1478.5136938625751</v>
      </c>
      <c r="X17" s="169"/>
    </row>
    <row r="18" spans="2:24" ht="21" x14ac:dyDescent="0.35">
      <c r="B18" s="102" t="s">
        <v>61</v>
      </c>
      <c r="C18" s="179" t="s">
        <v>43</v>
      </c>
      <c r="D18" s="102" t="s">
        <v>3</v>
      </c>
      <c r="E18" s="103">
        <v>4358.17</v>
      </c>
      <c r="F18" s="126">
        <v>15</v>
      </c>
      <c r="G18" s="168">
        <v>624</v>
      </c>
      <c r="H18" s="103"/>
      <c r="I18" s="103"/>
      <c r="J18" s="103"/>
      <c r="K18" s="103">
        <f t="shared" si="1"/>
        <v>4358.17</v>
      </c>
      <c r="L18" s="103"/>
      <c r="M18" s="103">
        <v>408.52</v>
      </c>
      <c r="N18" s="103">
        <f t="shared" si="2"/>
        <v>408.52</v>
      </c>
      <c r="O18" s="103">
        <v>-0.14000000000000001</v>
      </c>
      <c r="P18" s="156">
        <f t="shared" si="3"/>
        <v>501.19</v>
      </c>
      <c r="Q18" s="103">
        <f t="shared" si="4"/>
        <v>1533.57</v>
      </c>
      <c r="R18" s="171">
        <f t="shared" si="5"/>
        <v>2824.6000000000004</v>
      </c>
      <c r="S18" s="29">
        <v>356.16053204208214</v>
      </c>
      <c r="T18" s="128">
        <f t="shared" si="8"/>
        <v>893.43</v>
      </c>
      <c r="U18" s="157">
        <f t="shared" si="6"/>
        <v>87.16</v>
      </c>
      <c r="V18" s="129">
        <f t="shared" si="7"/>
        <v>1336.7505320420821</v>
      </c>
      <c r="X18" s="169"/>
    </row>
    <row r="19" spans="2:24" ht="21" x14ac:dyDescent="0.35">
      <c r="B19" s="102" t="s">
        <v>62</v>
      </c>
      <c r="C19" s="179" t="s">
        <v>42</v>
      </c>
      <c r="D19" s="102" t="s">
        <v>119</v>
      </c>
      <c r="E19" s="103">
        <v>4918.3649999999998</v>
      </c>
      <c r="F19" s="126">
        <v>15</v>
      </c>
      <c r="G19" s="168">
        <v>525</v>
      </c>
      <c r="H19" s="130"/>
      <c r="I19" s="139"/>
      <c r="J19" s="103"/>
      <c r="K19" s="103">
        <f>E19-I19+H19</f>
        <v>4918.3649999999998</v>
      </c>
      <c r="L19" s="103"/>
      <c r="M19" s="103">
        <v>508.91</v>
      </c>
      <c r="N19" s="103">
        <f t="shared" si="2"/>
        <v>508.91</v>
      </c>
      <c r="O19" s="103">
        <v>0.05</v>
      </c>
      <c r="P19" s="156">
        <f t="shared" si="3"/>
        <v>565.61</v>
      </c>
      <c r="Q19" s="103">
        <f t="shared" si="4"/>
        <v>1599.5700000000002</v>
      </c>
      <c r="R19" s="171">
        <f t="shared" si="5"/>
        <v>3318.7949999999996</v>
      </c>
      <c r="S19" s="29">
        <v>371.88369386257529</v>
      </c>
      <c r="T19" s="128">
        <f t="shared" si="8"/>
        <v>1008.26</v>
      </c>
      <c r="U19" s="157">
        <f t="shared" si="6"/>
        <v>98.37</v>
      </c>
      <c r="V19" s="129">
        <f t="shared" si="7"/>
        <v>1478.5136938625751</v>
      </c>
      <c r="X19" s="169"/>
    </row>
    <row r="20" spans="2:24" ht="18.75" x14ac:dyDescent="0.3">
      <c r="B20" s="138" t="s">
        <v>20</v>
      </c>
      <c r="C20" s="132"/>
      <c r="D20" s="133"/>
      <c r="E20" s="134">
        <f>SUM(E12:E19)</f>
        <v>53558.664999999994</v>
      </c>
      <c r="F20" s="134"/>
      <c r="G20" s="134">
        <f>+G19+G18+G17+G16+G12</f>
        <v>6963.62</v>
      </c>
      <c r="H20" s="134"/>
      <c r="I20" s="134">
        <f t="shared" ref="I20:V20" si="9">SUM(I12:I19)</f>
        <v>0</v>
      </c>
      <c r="J20" s="134">
        <f t="shared" si="9"/>
        <v>0</v>
      </c>
      <c r="K20" s="134">
        <f t="shared" si="9"/>
        <v>53558.664999999994</v>
      </c>
      <c r="L20" s="134">
        <f t="shared" ref="L20" si="10">SUM(L12:L19)</f>
        <v>0</v>
      </c>
      <c r="M20" s="134">
        <f>SUM(M12:M19)</f>
        <v>7163.17</v>
      </c>
      <c r="N20" s="134">
        <f t="shared" si="9"/>
        <v>7163.17</v>
      </c>
      <c r="O20" s="134">
        <f t="shared" si="9"/>
        <v>-0.15000000000000002</v>
      </c>
      <c r="P20" s="134">
        <f>SUM(P12:P19)</f>
        <v>6159.2399999999989</v>
      </c>
      <c r="Q20" s="134">
        <f t="shared" si="9"/>
        <v>20285.88</v>
      </c>
      <c r="R20" s="135">
        <f>SUM(R12:R19)</f>
        <v>33272.784999999996</v>
      </c>
      <c r="S20" s="134">
        <f t="shared" si="9"/>
        <v>3373.9550595138921</v>
      </c>
      <c r="T20" s="134">
        <f t="shared" si="9"/>
        <v>10979.51</v>
      </c>
      <c r="U20" s="134">
        <f>SUM(U12:U19)</f>
        <v>1071.19</v>
      </c>
      <c r="V20" s="134">
        <f t="shared" si="9"/>
        <v>15424.655059513891</v>
      </c>
      <c r="X20" s="169"/>
    </row>
    <row r="21" spans="2:24" ht="18.75" hidden="1" x14ac:dyDescent="0.3">
      <c r="B21" s="138"/>
      <c r="C21" s="136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37"/>
      <c r="X21" s="169"/>
    </row>
    <row r="22" spans="2:24" ht="18.75" x14ac:dyDescent="0.3">
      <c r="B22" s="138" t="s">
        <v>31</v>
      </c>
      <c r="C22" s="132" t="s">
        <v>83</v>
      </c>
      <c r="E22" s="103"/>
      <c r="F22" s="103"/>
      <c r="G22" s="103"/>
      <c r="H22" s="103"/>
      <c r="I22" s="103"/>
      <c r="J22" s="103"/>
      <c r="K22" s="142"/>
      <c r="L22" s="142"/>
      <c r="M22" s="103"/>
      <c r="N22" s="103"/>
      <c r="O22" s="103"/>
      <c r="P22" s="103"/>
      <c r="Q22" s="103"/>
      <c r="R22" s="137"/>
      <c r="X22" s="169"/>
    </row>
    <row r="23" spans="2:24" ht="21" x14ac:dyDescent="0.35">
      <c r="B23" s="102" t="s">
        <v>63</v>
      </c>
      <c r="C23" s="179" t="s">
        <v>110</v>
      </c>
      <c r="D23" s="158" t="s">
        <v>132</v>
      </c>
      <c r="E23" s="103">
        <v>7000.8</v>
      </c>
      <c r="F23" s="126">
        <v>15</v>
      </c>
      <c r="G23" s="103"/>
      <c r="H23" s="103"/>
      <c r="I23" s="103"/>
      <c r="J23" s="103"/>
      <c r="K23" s="103">
        <f>E23-I23</f>
        <v>7000.8</v>
      </c>
      <c r="L23" s="103">
        <v>0</v>
      </c>
      <c r="M23" s="103">
        <v>948.11</v>
      </c>
      <c r="N23" s="103">
        <f>M23-L23</f>
        <v>948.11</v>
      </c>
      <c r="O23" s="103">
        <v>0</v>
      </c>
      <c r="P23" s="156">
        <f>ROUND(E23*0.115,2)</f>
        <v>805.09</v>
      </c>
      <c r="Q23" s="103">
        <f t="shared" ref="Q23:Q24" si="11">SUM(N23:P23)+G23</f>
        <v>1753.2</v>
      </c>
      <c r="R23" s="171">
        <f>K23-Q23</f>
        <v>5247.6</v>
      </c>
      <c r="S23" s="170">
        <v>430.3321725987945</v>
      </c>
      <c r="T23" s="128">
        <f t="shared" ref="T23:T26" si="12">ROUND(+E23*17.5%,2)+ROUND(E23*3%,2)</f>
        <v>1435.16</v>
      </c>
      <c r="U23" s="157">
        <f t="shared" ref="U23:U26" si="13">ROUND(+E23*2%,2)</f>
        <v>140.02000000000001</v>
      </c>
      <c r="V23" s="129">
        <f t="shared" ref="V23:V24" si="14">SUM(S23:U23)</f>
        <v>2005.5121725987947</v>
      </c>
      <c r="X23" s="169"/>
    </row>
    <row r="24" spans="2:24" ht="21" x14ac:dyDescent="0.35">
      <c r="B24" s="102" t="s">
        <v>112</v>
      </c>
      <c r="C24" s="179" t="s">
        <v>113</v>
      </c>
      <c r="D24" s="158" t="s">
        <v>133</v>
      </c>
      <c r="E24" s="103">
        <v>7000.8</v>
      </c>
      <c r="F24" s="126">
        <v>15</v>
      </c>
      <c r="G24" s="103"/>
      <c r="H24" s="103"/>
      <c r="I24" s="103"/>
      <c r="J24" s="103"/>
      <c r="K24" s="103">
        <f>E24-I24</f>
        <v>7000.8</v>
      </c>
      <c r="L24" s="103">
        <v>0</v>
      </c>
      <c r="M24" s="103">
        <v>948.11</v>
      </c>
      <c r="N24" s="103">
        <f t="shared" ref="N24" si="15">M24-L24</f>
        <v>948.11</v>
      </c>
      <c r="O24" s="103">
        <v>0</v>
      </c>
      <c r="P24" s="156">
        <f>ROUND(E24*0.115,2)</f>
        <v>805.09</v>
      </c>
      <c r="Q24" s="103">
        <f t="shared" si="11"/>
        <v>1753.2</v>
      </c>
      <c r="R24" s="171">
        <f>K24-Q24</f>
        <v>5247.6</v>
      </c>
      <c r="S24" s="170">
        <v>430.3321725987945</v>
      </c>
      <c r="T24" s="128">
        <f t="shared" si="12"/>
        <v>1435.16</v>
      </c>
      <c r="U24" s="157">
        <f t="shared" si="13"/>
        <v>140.02000000000001</v>
      </c>
      <c r="V24" s="129">
        <f t="shared" si="14"/>
        <v>2005.5121725987947</v>
      </c>
      <c r="X24" s="169"/>
    </row>
    <row r="25" spans="2:24" ht="21" x14ac:dyDescent="0.35">
      <c r="B25" s="102" t="s">
        <v>64</v>
      </c>
      <c r="C25" s="179" t="s">
        <v>45</v>
      </c>
      <c r="D25" s="102" t="s">
        <v>122</v>
      </c>
      <c r="E25" s="103">
        <v>7000.8</v>
      </c>
      <c r="F25" s="126">
        <v>15</v>
      </c>
      <c r="G25" s="141"/>
      <c r="H25" s="103"/>
      <c r="I25" s="143"/>
      <c r="J25" s="103"/>
      <c r="K25" s="103">
        <f>E25-I25</f>
        <v>7000.8</v>
      </c>
      <c r="L25" s="103">
        <v>0</v>
      </c>
      <c r="M25" s="103">
        <v>948.11</v>
      </c>
      <c r="N25" s="103">
        <f>M25-L25</f>
        <v>948.11</v>
      </c>
      <c r="O25" s="103">
        <v>0</v>
      </c>
      <c r="P25" s="156">
        <f>ROUND(E25*0.115,2)</f>
        <v>805.09</v>
      </c>
      <c r="Q25" s="103">
        <f>SUM(N25:P25)+G25</f>
        <v>1753.2</v>
      </c>
      <c r="R25" s="171">
        <f>K25-Q25</f>
        <v>5247.6</v>
      </c>
      <c r="S25" s="170">
        <v>430.3321725987945</v>
      </c>
      <c r="T25" s="128">
        <f t="shared" si="12"/>
        <v>1435.16</v>
      </c>
      <c r="U25" s="157">
        <f t="shared" si="13"/>
        <v>140.02000000000001</v>
      </c>
      <c r="V25" s="129">
        <f>SUM(S25:U25)</f>
        <v>2005.5121725987947</v>
      </c>
      <c r="X25" s="169"/>
    </row>
    <row r="26" spans="2:24" ht="21" x14ac:dyDescent="0.35">
      <c r="B26" s="102" t="s">
        <v>65</v>
      </c>
      <c r="C26" s="179" t="s">
        <v>59</v>
      </c>
      <c r="D26" s="158" t="s">
        <v>134</v>
      </c>
      <c r="E26" s="103">
        <v>7000.8</v>
      </c>
      <c r="F26" s="126">
        <v>15</v>
      </c>
      <c r="G26" s="168">
        <v>1189</v>
      </c>
      <c r="H26" s="130"/>
      <c r="I26" s="130"/>
      <c r="J26" s="103"/>
      <c r="K26" s="103">
        <f>E26-I26+H26</f>
        <v>7000.8</v>
      </c>
      <c r="L26" s="103">
        <v>0</v>
      </c>
      <c r="M26" s="103">
        <v>948.11</v>
      </c>
      <c r="N26" s="103">
        <f>M26-L26</f>
        <v>948.11</v>
      </c>
      <c r="O26" s="103">
        <v>0</v>
      </c>
      <c r="P26" s="156">
        <f>ROUND(E26*0.115,2)</f>
        <v>805.09</v>
      </c>
      <c r="Q26" s="103">
        <f>SUM(N26:P26)+G26</f>
        <v>2942.2</v>
      </c>
      <c r="R26" s="171">
        <f>K26-Q26</f>
        <v>4058.6000000000004</v>
      </c>
      <c r="S26" s="170">
        <v>430.3321725987945</v>
      </c>
      <c r="T26" s="128">
        <f t="shared" si="12"/>
        <v>1435.16</v>
      </c>
      <c r="U26" s="157">
        <f t="shared" si="13"/>
        <v>140.02000000000001</v>
      </c>
      <c r="V26" s="129">
        <f>SUM(S26:U26)</f>
        <v>2005.5121725987947</v>
      </c>
      <c r="X26" s="169"/>
    </row>
    <row r="27" spans="2:24" ht="18.75" x14ac:dyDescent="0.3">
      <c r="B27" s="138" t="s">
        <v>20</v>
      </c>
      <c r="C27" s="132"/>
      <c r="D27" s="133"/>
      <c r="E27" s="134">
        <f>SUM(E23:E26)</f>
        <v>28003.200000000001</v>
      </c>
      <c r="F27" s="134"/>
      <c r="G27" s="134">
        <f>+G26+G25+G23+G24</f>
        <v>1189</v>
      </c>
      <c r="H27" s="134"/>
      <c r="I27" s="134">
        <f t="shared" ref="I27:N27" si="16">SUM(I23:I26)</f>
        <v>0</v>
      </c>
      <c r="J27" s="134">
        <f t="shared" si="16"/>
        <v>0</v>
      </c>
      <c r="K27" s="134">
        <f t="shared" si="16"/>
        <v>28003.200000000001</v>
      </c>
      <c r="L27" s="134">
        <f t="shared" ref="L27" si="17">SUM(L23:L26)</f>
        <v>0</v>
      </c>
      <c r="M27" s="134">
        <f>SUM(M23:M26)</f>
        <v>3792.44</v>
      </c>
      <c r="N27" s="134">
        <f t="shared" si="16"/>
        <v>3792.44</v>
      </c>
      <c r="O27" s="134">
        <f t="shared" ref="O27:Q27" si="18">SUM(O23:O26)</f>
        <v>0</v>
      </c>
      <c r="P27" s="134">
        <f>SUM(P23:P26)</f>
        <v>3220.36</v>
      </c>
      <c r="Q27" s="134">
        <f t="shared" si="18"/>
        <v>8201.7999999999993</v>
      </c>
      <c r="R27" s="135">
        <f>SUM(R23:R26)</f>
        <v>19801.400000000001</v>
      </c>
      <c r="S27" s="134">
        <f>SUM(S23:S26)</f>
        <v>1721.328690395178</v>
      </c>
      <c r="T27" s="134">
        <f>SUM(T23:T26)</f>
        <v>5740.64</v>
      </c>
      <c r="U27" s="134">
        <f>SUM(U23:U26)</f>
        <v>560.08000000000004</v>
      </c>
      <c r="V27" s="134">
        <f>SUM(V23:V26)</f>
        <v>8022.0486903951787</v>
      </c>
      <c r="X27" s="169"/>
    </row>
    <row r="28" spans="2:24" ht="18.75" hidden="1" x14ac:dyDescent="0.3">
      <c r="C28" s="136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37"/>
      <c r="X28" s="169"/>
    </row>
    <row r="29" spans="2:24" ht="18.75" x14ac:dyDescent="0.3">
      <c r="B29" s="138" t="s">
        <v>33</v>
      </c>
      <c r="C29" s="132" t="s">
        <v>32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37"/>
      <c r="X29" s="169"/>
    </row>
    <row r="30" spans="2:24" ht="21" x14ac:dyDescent="0.35">
      <c r="B30" s="102" t="s">
        <v>66</v>
      </c>
      <c r="C30" s="179" t="s">
        <v>49</v>
      </c>
      <c r="D30" s="158" t="s">
        <v>128</v>
      </c>
      <c r="E30" s="103">
        <v>7000.8</v>
      </c>
      <c r="F30" s="126">
        <v>15</v>
      </c>
      <c r="G30" s="103"/>
      <c r="H30" s="103"/>
      <c r="I30" s="144"/>
      <c r="J30" s="103"/>
      <c r="K30" s="103">
        <f t="shared" ref="K30:K37" si="19">E30-I30</f>
        <v>7000.8</v>
      </c>
      <c r="L30" s="103">
        <v>0</v>
      </c>
      <c r="M30" s="103">
        <v>948.11</v>
      </c>
      <c r="N30" s="103">
        <f>M30-L30</f>
        <v>948.11</v>
      </c>
      <c r="O30" s="103">
        <v>0</v>
      </c>
      <c r="P30" s="156">
        <f>ROUND(E30*0.115,2)</f>
        <v>805.09</v>
      </c>
      <c r="Q30" s="103">
        <f t="shared" ref="Q30:Q40" si="20">SUM(N30:P30)+G30</f>
        <v>1753.2</v>
      </c>
      <c r="R30" s="171">
        <f t="shared" ref="R30:R38" si="21">K30-Q30</f>
        <v>5247.6</v>
      </c>
      <c r="S30" s="170">
        <v>430.3321725987945</v>
      </c>
      <c r="T30" s="128">
        <f t="shared" ref="T30:T40" si="22">ROUND(+E30*17.5%,2)+ROUND(E30*3%,2)</f>
        <v>1435.16</v>
      </c>
      <c r="U30" s="157">
        <f t="shared" ref="U30:U40" si="23">ROUND(+E30*2%,2)</f>
        <v>140.02000000000001</v>
      </c>
      <c r="V30" s="129">
        <f>SUM(S30:U30)</f>
        <v>2005.5121725987947</v>
      </c>
      <c r="X30" s="169"/>
    </row>
    <row r="31" spans="2:24" ht="21" x14ac:dyDescent="0.35">
      <c r="B31" s="102" t="s">
        <v>67</v>
      </c>
      <c r="C31" s="179" t="s">
        <v>51</v>
      </c>
      <c r="D31" s="158" t="s">
        <v>135</v>
      </c>
      <c r="E31" s="103">
        <v>7000.8</v>
      </c>
      <c r="F31" s="126">
        <v>15</v>
      </c>
      <c r="G31" s="141"/>
      <c r="H31" s="103"/>
      <c r="I31" s="130"/>
      <c r="J31" s="141"/>
      <c r="K31" s="141">
        <f t="shared" si="19"/>
        <v>7000.8</v>
      </c>
      <c r="L31" s="141">
        <v>0</v>
      </c>
      <c r="M31" s="103">
        <v>948.11</v>
      </c>
      <c r="N31" s="103">
        <f t="shared" ref="N31:N40" si="24">M31-L31</f>
        <v>948.11</v>
      </c>
      <c r="O31" s="103">
        <v>0</v>
      </c>
      <c r="P31" s="156">
        <f t="shared" ref="P31:P40" si="25">ROUND(E31*0.115,2)</f>
        <v>805.09</v>
      </c>
      <c r="Q31" s="103">
        <f>SUM(N31:P31)+G31</f>
        <v>1753.2</v>
      </c>
      <c r="R31" s="171">
        <f t="shared" si="21"/>
        <v>5247.6</v>
      </c>
      <c r="S31" s="170">
        <v>430.3321725987945</v>
      </c>
      <c r="T31" s="128">
        <f t="shared" si="22"/>
        <v>1435.16</v>
      </c>
      <c r="U31" s="157">
        <f t="shared" si="23"/>
        <v>140.02000000000001</v>
      </c>
      <c r="V31" s="129">
        <f>SUM(S31:U31)</f>
        <v>2005.5121725987947</v>
      </c>
      <c r="X31" s="169"/>
    </row>
    <row r="32" spans="2:24" ht="21" x14ac:dyDescent="0.35">
      <c r="B32" s="102" t="s">
        <v>68</v>
      </c>
      <c r="C32" s="179" t="s">
        <v>48</v>
      </c>
      <c r="D32" s="102" t="s">
        <v>123</v>
      </c>
      <c r="E32" s="103">
        <v>7443.8</v>
      </c>
      <c r="F32" s="126">
        <v>15</v>
      </c>
      <c r="G32" s="103"/>
      <c r="H32" s="103"/>
      <c r="I32" s="130"/>
      <c r="J32" s="103"/>
      <c r="K32" s="103">
        <f t="shared" si="19"/>
        <v>7443.8</v>
      </c>
      <c r="L32" s="103">
        <v>0</v>
      </c>
      <c r="M32" s="103">
        <v>1042.73</v>
      </c>
      <c r="N32" s="103">
        <f>M32-L32</f>
        <v>1042.73</v>
      </c>
      <c r="O32" s="103">
        <v>-0.17</v>
      </c>
      <c r="P32" s="156">
        <f t="shared" si="25"/>
        <v>856.04</v>
      </c>
      <c r="Q32" s="103">
        <f t="shared" si="20"/>
        <v>1898.6</v>
      </c>
      <c r="R32" s="171">
        <f t="shared" si="21"/>
        <v>5545.2000000000007</v>
      </c>
      <c r="S32" s="170">
        <v>442.76562804748858</v>
      </c>
      <c r="T32" s="128">
        <f t="shared" si="22"/>
        <v>1525.98</v>
      </c>
      <c r="U32" s="157">
        <f>ROUND(+E32*2%,2)</f>
        <v>148.88</v>
      </c>
      <c r="V32" s="129">
        <f t="shared" ref="V32:V40" si="26">SUM(S32:U32)</f>
        <v>2117.6256280474886</v>
      </c>
      <c r="X32" s="169"/>
    </row>
    <row r="33" spans="2:24" ht="21" x14ac:dyDescent="0.35">
      <c r="B33" s="102" t="s">
        <v>77</v>
      </c>
      <c r="C33" s="179" t="s">
        <v>111</v>
      </c>
      <c r="D33" s="102" t="s">
        <v>127</v>
      </c>
      <c r="E33" s="103">
        <v>7000.8</v>
      </c>
      <c r="F33" s="126">
        <v>15</v>
      </c>
      <c r="G33" s="103"/>
      <c r="H33" s="103"/>
      <c r="I33" s="144"/>
      <c r="J33" s="103"/>
      <c r="K33" s="103">
        <f>E33-I33</f>
        <v>7000.8</v>
      </c>
      <c r="L33" s="103">
        <v>0</v>
      </c>
      <c r="M33" s="103">
        <v>948.11</v>
      </c>
      <c r="N33" s="103">
        <f t="shared" si="24"/>
        <v>948.11</v>
      </c>
      <c r="O33" s="103">
        <v>0</v>
      </c>
      <c r="P33" s="156">
        <f t="shared" si="25"/>
        <v>805.09</v>
      </c>
      <c r="Q33" s="103">
        <f>SUM(N33:P33)+G33</f>
        <v>1753.2</v>
      </c>
      <c r="R33" s="171">
        <f>K33-Q33</f>
        <v>5247.6</v>
      </c>
      <c r="S33" s="170">
        <v>430.3321725987945</v>
      </c>
      <c r="T33" s="128">
        <f t="shared" si="22"/>
        <v>1435.16</v>
      </c>
      <c r="U33" s="157">
        <f t="shared" si="23"/>
        <v>140.02000000000001</v>
      </c>
      <c r="V33" s="129">
        <f t="shared" si="26"/>
        <v>2005.5121725987947</v>
      </c>
      <c r="X33" s="169"/>
    </row>
    <row r="34" spans="2:24" ht="21" x14ac:dyDescent="0.35">
      <c r="B34" s="102" t="s">
        <v>70</v>
      </c>
      <c r="C34" s="179" t="s">
        <v>46</v>
      </c>
      <c r="D34" s="102" t="s">
        <v>124</v>
      </c>
      <c r="E34" s="103">
        <v>7000.8</v>
      </c>
      <c r="F34" s="126">
        <v>15</v>
      </c>
      <c r="G34" s="168">
        <v>572.98</v>
      </c>
      <c r="H34" s="103"/>
      <c r="I34" s="139"/>
      <c r="J34" s="141"/>
      <c r="K34" s="141">
        <f t="shared" si="19"/>
        <v>7000.8</v>
      </c>
      <c r="L34" s="141">
        <v>0</v>
      </c>
      <c r="M34" s="103">
        <v>948.11</v>
      </c>
      <c r="N34" s="103">
        <f t="shared" si="24"/>
        <v>948.11</v>
      </c>
      <c r="O34" s="103">
        <v>-0.18</v>
      </c>
      <c r="P34" s="156">
        <f t="shared" si="25"/>
        <v>805.09</v>
      </c>
      <c r="Q34" s="103">
        <f t="shared" si="20"/>
        <v>2326</v>
      </c>
      <c r="R34" s="171">
        <f t="shared" si="21"/>
        <v>4674.8</v>
      </c>
      <c r="S34" s="170">
        <v>430.3321725987945</v>
      </c>
      <c r="T34" s="128">
        <f t="shared" si="22"/>
        <v>1435.16</v>
      </c>
      <c r="U34" s="157">
        <f t="shared" si="23"/>
        <v>140.02000000000001</v>
      </c>
      <c r="V34" s="129">
        <f t="shared" si="26"/>
        <v>2005.5121725987947</v>
      </c>
      <c r="X34" s="169"/>
    </row>
    <row r="35" spans="2:24" ht="21" x14ac:dyDescent="0.35">
      <c r="B35" s="102" t="s">
        <v>71</v>
      </c>
      <c r="C35" s="179" t="s">
        <v>50</v>
      </c>
      <c r="D35" s="102" t="s">
        <v>124</v>
      </c>
      <c r="E35" s="103">
        <v>7000.8</v>
      </c>
      <c r="F35" s="126">
        <v>15</v>
      </c>
      <c r="G35" s="103"/>
      <c r="H35" s="141"/>
      <c r="I35" s="130"/>
      <c r="J35" s="141"/>
      <c r="K35" s="141">
        <f t="shared" si="19"/>
        <v>7000.8</v>
      </c>
      <c r="L35" s="141">
        <v>0</v>
      </c>
      <c r="M35" s="103">
        <v>948.11</v>
      </c>
      <c r="N35" s="141">
        <f t="shared" si="24"/>
        <v>948.11</v>
      </c>
      <c r="O35" s="103">
        <v>0</v>
      </c>
      <c r="P35" s="156">
        <f t="shared" si="25"/>
        <v>805.09</v>
      </c>
      <c r="Q35" s="103">
        <f t="shared" si="20"/>
        <v>1753.2</v>
      </c>
      <c r="R35" s="171">
        <f t="shared" si="21"/>
        <v>5247.6</v>
      </c>
      <c r="S35" s="170">
        <v>430.3321725987945</v>
      </c>
      <c r="T35" s="128">
        <f t="shared" si="22"/>
        <v>1435.16</v>
      </c>
      <c r="U35" s="157">
        <f t="shared" si="23"/>
        <v>140.02000000000001</v>
      </c>
      <c r="V35" s="129">
        <f t="shared" si="26"/>
        <v>2005.5121725987947</v>
      </c>
      <c r="X35" s="169"/>
    </row>
    <row r="36" spans="2:24" ht="21" x14ac:dyDescent="0.35">
      <c r="B36" s="102" t="s">
        <v>72</v>
      </c>
      <c r="C36" s="179" t="s">
        <v>52</v>
      </c>
      <c r="D36" s="102" t="s">
        <v>124</v>
      </c>
      <c r="E36" s="103">
        <v>7000.8</v>
      </c>
      <c r="F36" s="126">
        <v>15</v>
      </c>
      <c r="G36" s="103"/>
      <c r="H36" s="103"/>
      <c r="I36" s="139"/>
      <c r="J36" s="141"/>
      <c r="K36" s="141">
        <f t="shared" si="19"/>
        <v>7000.8</v>
      </c>
      <c r="L36" s="141">
        <v>0</v>
      </c>
      <c r="M36" s="103">
        <v>948.11</v>
      </c>
      <c r="N36" s="103">
        <f>M36-L36</f>
        <v>948.11</v>
      </c>
      <c r="O36" s="103">
        <v>0</v>
      </c>
      <c r="P36" s="156">
        <f t="shared" si="25"/>
        <v>805.09</v>
      </c>
      <c r="Q36" s="103">
        <f t="shared" si="20"/>
        <v>1753.2</v>
      </c>
      <c r="R36" s="171">
        <f t="shared" si="21"/>
        <v>5247.6</v>
      </c>
      <c r="S36" s="170">
        <v>430.3321725987945</v>
      </c>
      <c r="T36" s="128">
        <f t="shared" si="22"/>
        <v>1435.16</v>
      </c>
      <c r="U36" s="157">
        <f t="shared" si="23"/>
        <v>140.02000000000001</v>
      </c>
      <c r="V36" s="129">
        <f t="shared" si="26"/>
        <v>2005.5121725987947</v>
      </c>
      <c r="X36" s="169"/>
    </row>
    <row r="37" spans="2:24" ht="21" x14ac:dyDescent="0.35">
      <c r="B37" s="102" t="s">
        <v>73</v>
      </c>
      <c r="C37" s="179" t="s">
        <v>47</v>
      </c>
      <c r="D37" s="102" t="s">
        <v>125</v>
      </c>
      <c r="E37" s="103">
        <v>7000.8</v>
      </c>
      <c r="F37" s="126">
        <v>15</v>
      </c>
      <c r="G37" s="141"/>
      <c r="H37" s="103"/>
      <c r="I37" s="145"/>
      <c r="J37" s="103"/>
      <c r="K37" s="103">
        <f t="shared" si="19"/>
        <v>7000.8</v>
      </c>
      <c r="L37" s="103">
        <v>0</v>
      </c>
      <c r="M37" s="103">
        <v>948.11</v>
      </c>
      <c r="N37" s="103">
        <f t="shared" si="24"/>
        <v>948.11</v>
      </c>
      <c r="O37" s="103">
        <v>0</v>
      </c>
      <c r="P37" s="156">
        <f t="shared" si="25"/>
        <v>805.09</v>
      </c>
      <c r="Q37" s="103">
        <f>SUM(N37:P37)+G37</f>
        <v>1753.2</v>
      </c>
      <c r="R37" s="171">
        <f>K37-Q37</f>
        <v>5247.6</v>
      </c>
      <c r="S37" s="170">
        <v>430.3321725987945</v>
      </c>
      <c r="T37" s="128">
        <f t="shared" si="22"/>
        <v>1435.16</v>
      </c>
      <c r="U37" s="157">
        <f t="shared" si="23"/>
        <v>140.02000000000001</v>
      </c>
      <c r="V37" s="129">
        <f t="shared" si="26"/>
        <v>2005.5121725987947</v>
      </c>
      <c r="X37" s="169"/>
    </row>
    <row r="38" spans="2:24" ht="21" x14ac:dyDescent="0.35">
      <c r="B38" s="102" t="s">
        <v>74</v>
      </c>
      <c r="C38" s="179" t="s">
        <v>53</v>
      </c>
      <c r="D38" s="102" t="s">
        <v>125</v>
      </c>
      <c r="E38" s="103">
        <v>7000.8</v>
      </c>
      <c r="F38" s="126">
        <v>15</v>
      </c>
      <c r="G38" s="168">
        <v>1500</v>
      </c>
      <c r="H38" s="103"/>
      <c r="I38" s="139"/>
      <c r="J38" s="103"/>
      <c r="K38" s="103">
        <f>E38-I38</f>
        <v>7000.8</v>
      </c>
      <c r="L38" s="103">
        <v>0</v>
      </c>
      <c r="M38" s="103">
        <v>948.11</v>
      </c>
      <c r="N38" s="103">
        <f t="shared" si="24"/>
        <v>948.11</v>
      </c>
      <c r="O38" s="103">
        <v>0</v>
      </c>
      <c r="P38" s="156">
        <f t="shared" si="25"/>
        <v>805.09</v>
      </c>
      <c r="Q38" s="103">
        <f>SUM(N38:P38)+G38</f>
        <v>3253.2</v>
      </c>
      <c r="R38" s="171">
        <f t="shared" si="21"/>
        <v>3747.6000000000004</v>
      </c>
      <c r="S38" s="170">
        <v>430.3321725987945</v>
      </c>
      <c r="T38" s="128">
        <f t="shared" si="22"/>
        <v>1435.16</v>
      </c>
      <c r="U38" s="157">
        <f t="shared" si="23"/>
        <v>140.02000000000001</v>
      </c>
      <c r="V38" s="129">
        <f t="shared" si="26"/>
        <v>2005.5121725987947</v>
      </c>
      <c r="X38" s="169"/>
    </row>
    <row r="39" spans="2:24" ht="21" x14ac:dyDescent="0.35">
      <c r="B39" s="102" t="s">
        <v>75</v>
      </c>
      <c r="C39" s="179" t="s">
        <v>39</v>
      </c>
      <c r="D39" s="102" t="s">
        <v>126</v>
      </c>
      <c r="E39" s="103">
        <v>7000.8</v>
      </c>
      <c r="F39" s="126">
        <v>15</v>
      </c>
      <c r="G39" s="141"/>
      <c r="H39" s="103"/>
      <c r="I39" s="144"/>
      <c r="J39" s="103"/>
      <c r="K39" s="103">
        <f>E39-I39</f>
        <v>7000.8</v>
      </c>
      <c r="L39" s="103">
        <v>0</v>
      </c>
      <c r="M39" s="103">
        <v>948.11</v>
      </c>
      <c r="N39" s="103">
        <f t="shared" si="24"/>
        <v>948.11</v>
      </c>
      <c r="O39" s="103">
        <v>0</v>
      </c>
      <c r="P39" s="156">
        <f t="shared" si="25"/>
        <v>805.09</v>
      </c>
      <c r="Q39" s="103">
        <f>SUM(N39:P39)+G39</f>
        <v>1753.2</v>
      </c>
      <c r="R39" s="171">
        <f>K39-Q39</f>
        <v>5247.6</v>
      </c>
      <c r="S39" s="170">
        <v>430.3321725987945</v>
      </c>
      <c r="T39" s="128">
        <f t="shared" si="22"/>
        <v>1435.16</v>
      </c>
      <c r="U39" s="157">
        <f t="shared" si="23"/>
        <v>140.02000000000001</v>
      </c>
      <c r="V39" s="129">
        <f t="shared" si="26"/>
        <v>2005.5121725987947</v>
      </c>
      <c r="X39" s="169"/>
    </row>
    <row r="40" spans="2:24" ht="21" x14ac:dyDescent="0.35">
      <c r="B40" s="102" t="s">
        <v>76</v>
      </c>
      <c r="C40" s="179" t="s">
        <v>54</v>
      </c>
      <c r="D40" s="102" t="s">
        <v>126</v>
      </c>
      <c r="E40" s="103">
        <v>7000.8</v>
      </c>
      <c r="F40" s="126">
        <v>15</v>
      </c>
      <c r="G40" s="141"/>
      <c r="H40" s="103"/>
      <c r="I40" s="144"/>
      <c r="J40" s="103"/>
      <c r="K40" s="103">
        <f>E40-I40</f>
        <v>7000.8</v>
      </c>
      <c r="L40" s="103">
        <v>0</v>
      </c>
      <c r="M40" s="103">
        <v>948.11</v>
      </c>
      <c r="N40" s="103">
        <f t="shared" si="24"/>
        <v>948.11</v>
      </c>
      <c r="O40" s="103">
        <v>0</v>
      </c>
      <c r="P40" s="156">
        <f t="shared" si="25"/>
        <v>805.09</v>
      </c>
      <c r="Q40" s="103">
        <f t="shared" si="20"/>
        <v>1753.2</v>
      </c>
      <c r="R40" s="171">
        <f>K40-Q40</f>
        <v>5247.6</v>
      </c>
      <c r="S40" s="170">
        <v>430.3321725987945</v>
      </c>
      <c r="T40" s="128">
        <f t="shared" si="22"/>
        <v>1435.16</v>
      </c>
      <c r="U40" s="157">
        <f t="shared" si="23"/>
        <v>140.02000000000001</v>
      </c>
      <c r="V40" s="129">
        <f t="shared" si="26"/>
        <v>2005.5121725987947</v>
      </c>
      <c r="X40" s="169"/>
    </row>
    <row r="41" spans="2:24" ht="18.75" x14ac:dyDescent="0.3">
      <c r="B41" s="138" t="s">
        <v>20</v>
      </c>
      <c r="C41" s="132"/>
      <c r="D41" s="133"/>
      <c r="E41" s="134">
        <f>SUM(E30:E40)</f>
        <v>77451.800000000017</v>
      </c>
      <c r="F41" s="134"/>
      <c r="G41" s="134">
        <f>+G40+G39+G38+G37+G36+G35+G34+G31</f>
        <v>2072.98</v>
      </c>
      <c r="H41" s="134"/>
      <c r="I41" s="134">
        <f>SUM(I30:I40)</f>
        <v>0</v>
      </c>
      <c r="J41" s="134">
        <f t="shared" ref="J41:V41" si="27">SUM(J30:J40)</f>
        <v>0</v>
      </c>
      <c r="K41" s="134">
        <f>SUM(K30:K40)</f>
        <v>77451.800000000017</v>
      </c>
      <c r="L41" s="134">
        <f>SUM(L30:L40)</f>
        <v>0</v>
      </c>
      <c r="M41" s="134">
        <f>SUM(M30:M40)</f>
        <v>10523.83</v>
      </c>
      <c r="N41" s="134">
        <f>SUM(N30:N40)</f>
        <v>10523.83</v>
      </c>
      <c r="O41" s="134">
        <f t="shared" si="27"/>
        <v>-0.35</v>
      </c>
      <c r="P41" s="134">
        <f>SUM(P30:P40)</f>
        <v>8906.94</v>
      </c>
      <c r="Q41" s="134">
        <f t="shared" si="27"/>
        <v>21503.400000000005</v>
      </c>
      <c r="R41" s="135">
        <f t="shared" si="27"/>
        <v>55948.399999999994</v>
      </c>
      <c r="S41" s="134">
        <f t="shared" si="27"/>
        <v>4746.0873540354332</v>
      </c>
      <c r="T41" s="134">
        <f t="shared" si="27"/>
        <v>15877.58</v>
      </c>
      <c r="U41" s="134">
        <f>SUM(U30:U40)</f>
        <v>1549.08</v>
      </c>
      <c r="V41" s="134">
        <f t="shared" si="27"/>
        <v>22172.74735403544</v>
      </c>
      <c r="X41" s="169"/>
    </row>
    <row r="42" spans="2:24" ht="18.75" hidden="1" x14ac:dyDescent="0.3">
      <c r="C42" s="136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37"/>
      <c r="X42" s="169"/>
    </row>
    <row r="43" spans="2:24" ht="18.75" x14ac:dyDescent="0.3">
      <c r="B43" s="138" t="s">
        <v>78</v>
      </c>
      <c r="C43" s="132" t="s">
        <v>34</v>
      </c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37"/>
      <c r="X43" s="169"/>
    </row>
    <row r="44" spans="2:24" ht="21" x14ac:dyDescent="0.35">
      <c r="B44" s="102" t="s">
        <v>69</v>
      </c>
      <c r="C44" s="179" t="s">
        <v>55</v>
      </c>
      <c r="D44" s="102" t="s">
        <v>130</v>
      </c>
      <c r="E44" s="103">
        <v>7443.8</v>
      </c>
      <c r="F44" s="126">
        <v>15</v>
      </c>
      <c r="G44" s="137"/>
      <c r="H44" s="103"/>
      <c r="I44" s="144"/>
      <c r="J44" s="141"/>
      <c r="K44" s="141">
        <f t="shared" ref="K44" si="28">E44-I44</f>
        <v>7443.8</v>
      </c>
      <c r="L44" s="141">
        <v>0</v>
      </c>
      <c r="M44" s="103">
        <v>1042.73</v>
      </c>
      <c r="N44" s="103">
        <f>M44-L44</f>
        <v>1042.73</v>
      </c>
      <c r="O44" s="103">
        <v>-0.17</v>
      </c>
      <c r="P44" s="156">
        <f t="shared" ref="P44:P46" si="29">ROUND(E44*0.115,2)</f>
        <v>856.04</v>
      </c>
      <c r="Q44" s="103">
        <f t="shared" ref="Q44" si="30">SUM(N44:P44)+G44</f>
        <v>1898.6</v>
      </c>
      <c r="R44" s="171">
        <f t="shared" ref="R44" si="31">K44-Q44</f>
        <v>5545.2000000000007</v>
      </c>
      <c r="S44" s="170">
        <v>442.76562804748858</v>
      </c>
      <c r="T44" s="128">
        <f t="shared" ref="T44:T46" si="32">ROUND(+E44*17.5%,2)+ROUND(E44*3%,2)</f>
        <v>1525.98</v>
      </c>
      <c r="U44" s="157">
        <f t="shared" ref="U44:U46" si="33">ROUND(+E44*2%,2)</f>
        <v>148.88</v>
      </c>
      <c r="V44" s="129">
        <f t="shared" ref="V44:V46" si="34">SUM(S44:U44)</f>
        <v>2117.6256280474886</v>
      </c>
      <c r="X44" s="169"/>
    </row>
    <row r="45" spans="2:24" ht="21" x14ac:dyDescent="0.35">
      <c r="B45" s="102" t="s">
        <v>81</v>
      </c>
      <c r="C45" s="179" t="s">
        <v>44</v>
      </c>
      <c r="D45" s="102" t="s">
        <v>128</v>
      </c>
      <c r="E45" s="103">
        <v>7000.8</v>
      </c>
      <c r="F45" s="126">
        <v>15</v>
      </c>
      <c r="G45" s="141"/>
      <c r="H45" s="103"/>
      <c r="I45" s="144"/>
      <c r="J45" s="103"/>
      <c r="K45" s="103">
        <f>E45-I45</f>
        <v>7000.8</v>
      </c>
      <c r="L45" s="103">
        <v>0</v>
      </c>
      <c r="M45" s="103">
        <v>948.11</v>
      </c>
      <c r="N45" s="103">
        <f>M45-L45</f>
        <v>948.11</v>
      </c>
      <c r="O45" s="103">
        <v>0</v>
      </c>
      <c r="P45" s="156">
        <f t="shared" si="29"/>
        <v>805.09</v>
      </c>
      <c r="Q45" s="103">
        <f>SUM(N45:P45)+G45</f>
        <v>1753.2</v>
      </c>
      <c r="R45" s="171">
        <f>K45-Q45</f>
        <v>5247.6</v>
      </c>
      <c r="S45" s="170">
        <v>430.3321725987945</v>
      </c>
      <c r="T45" s="128">
        <f t="shared" si="32"/>
        <v>1435.16</v>
      </c>
      <c r="U45" s="157">
        <f t="shared" si="33"/>
        <v>140.02000000000001</v>
      </c>
      <c r="V45" s="129">
        <f t="shared" si="34"/>
        <v>2005.5121725987947</v>
      </c>
      <c r="X45" s="169"/>
    </row>
    <row r="46" spans="2:24" ht="21" x14ac:dyDescent="0.35">
      <c r="B46" s="102" t="s">
        <v>107</v>
      </c>
      <c r="C46" s="179" t="s">
        <v>108</v>
      </c>
      <c r="D46" s="102" t="s">
        <v>109</v>
      </c>
      <c r="E46" s="103">
        <v>7000.8</v>
      </c>
      <c r="F46" s="126">
        <v>15</v>
      </c>
      <c r="G46" s="103"/>
      <c r="H46" s="103"/>
      <c r="I46" s="103"/>
      <c r="J46" s="103"/>
      <c r="K46" s="103">
        <f>E46-I46</f>
        <v>7000.8</v>
      </c>
      <c r="L46" s="103">
        <v>0</v>
      </c>
      <c r="M46" s="103">
        <v>948.11</v>
      </c>
      <c r="N46" s="103">
        <f>M46-L46</f>
        <v>948.11</v>
      </c>
      <c r="O46" s="103">
        <v>0</v>
      </c>
      <c r="P46" s="156">
        <f t="shared" si="29"/>
        <v>805.09</v>
      </c>
      <c r="Q46" s="103">
        <f>SUM(N46:P46)+G46</f>
        <v>1753.2</v>
      </c>
      <c r="R46" s="171">
        <f>K46-Q46</f>
        <v>5247.6</v>
      </c>
      <c r="S46" s="170">
        <v>430.3321725987945</v>
      </c>
      <c r="T46" s="128">
        <f t="shared" si="32"/>
        <v>1435.16</v>
      </c>
      <c r="U46" s="157">
        <f t="shared" si="33"/>
        <v>140.02000000000001</v>
      </c>
      <c r="V46" s="129">
        <f t="shared" si="34"/>
        <v>2005.5121725987947</v>
      </c>
      <c r="X46" s="169"/>
    </row>
    <row r="47" spans="2:24" ht="18.75" x14ac:dyDescent="0.3">
      <c r="B47" s="138" t="s">
        <v>20</v>
      </c>
      <c r="C47" s="132"/>
      <c r="D47" s="133"/>
      <c r="E47" s="134">
        <f>E44+E45+E46</f>
        <v>21445.4</v>
      </c>
      <c r="F47" s="134"/>
      <c r="G47" s="134">
        <f t="shared" ref="G47:V47" si="35">G44+G45+G46</f>
        <v>0</v>
      </c>
      <c r="H47" s="134">
        <f t="shared" si="35"/>
        <v>0</v>
      </c>
      <c r="I47" s="134">
        <f>I44+I45+I46</f>
        <v>0</v>
      </c>
      <c r="J47" s="134">
        <f t="shared" si="35"/>
        <v>0</v>
      </c>
      <c r="K47" s="134">
        <f>K44+K45+K46</f>
        <v>21445.4</v>
      </c>
      <c r="L47" s="134">
        <f t="shared" ref="L47:M47" si="36">L44+L45+L46</f>
        <v>0</v>
      </c>
      <c r="M47" s="134">
        <f t="shared" si="36"/>
        <v>2938.9500000000003</v>
      </c>
      <c r="N47" s="134">
        <f>N44+N45+N46</f>
        <v>2938.9500000000003</v>
      </c>
      <c r="O47" s="134">
        <f t="shared" si="35"/>
        <v>-0.17</v>
      </c>
      <c r="P47" s="134">
        <f>P44+P45+P46</f>
        <v>2466.2200000000003</v>
      </c>
      <c r="Q47" s="134">
        <f t="shared" si="35"/>
        <v>5405</v>
      </c>
      <c r="R47" s="135">
        <f t="shared" si="35"/>
        <v>16040.400000000001</v>
      </c>
      <c r="S47" s="134">
        <f t="shared" si="35"/>
        <v>1303.4299732450777</v>
      </c>
      <c r="T47" s="134">
        <f t="shared" si="35"/>
        <v>4396.3</v>
      </c>
      <c r="U47" s="134">
        <f>U44+U45+U46</f>
        <v>428.91999999999996</v>
      </c>
      <c r="V47" s="134">
        <f t="shared" si="35"/>
        <v>6128.6499732450784</v>
      </c>
      <c r="X47" s="169"/>
    </row>
    <row r="48" spans="2:24" ht="18.75" hidden="1" x14ac:dyDescent="0.3">
      <c r="B48" s="138"/>
      <c r="C48" s="136"/>
      <c r="E48" s="103"/>
      <c r="F48" s="103"/>
      <c r="G48" s="103"/>
      <c r="H48" s="103"/>
      <c r="I48" s="103"/>
      <c r="J48" s="103"/>
      <c r="K48" s="146"/>
      <c r="L48" s="146"/>
      <c r="M48" s="146"/>
      <c r="N48" s="146"/>
      <c r="O48" s="146"/>
      <c r="P48" s="146"/>
      <c r="Q48" s="146"/>
      <c r="R48" s="147"/>
      <c r="S48" s="148"/>
      <c r="T48" s="148"/>
      <c r="U48" s="148"/>
      <c r="V48" s="148"/>
      <c r="X48" s="169"/>
    </row>
    <row r="49" spans="2:24" ht="18.75" x14ac:dyDescent="0.3">
      <c r="B49" s="138" t="s">
        <v>84</v>
      </c>
      <c r="C49" s="132" t="s">
        <v>85</v>
      </c>
      <c r="E49" s="103"/>
      <c r="F49" s="103"/>
      <c r="G49" s="103"/>
      <c r="H49" s="103"/>
      <c r="I49" s="103"/>
      <c r="J49" s="103"/>
      <c r="K49" s="146"/>
      <c r="L49" s="146"/>
      <c r="M49" s="146"/>
      <c r="N49" s="146"/>
      <c r="O49" s="146"/>
      <c r="P49" s="146"/>
      <c r="Q49" s="146"/>
      <c r="R49" s="147"/>
      <c r="S49" s="148"/>
      <c r="T49" s="148"/>
      <c r="U49" s="148"/>
      <c r="V49" s="148"/>
      <c r="X49" s="169"/>
    </row>
    <row r="50" spans="2:24" ht="21" x14ac:dyDescent="0.35">
      <c r="B50" s="102" t="s">
        <v>86</v>
      </c>
      <c r="C50" s="179" t="s">
        <v>30</v>
      </c>
      <c r="D50" s="102" t="s">
        <v>114</v>
      </c>
      <c r="E50" s="103">
        <v>13000</v>
      </c>
      <c r="F50" s="126">
        <v>15</v>
      </c>
      <c r="G50" s="168">
        <v>6116.8</v>
      </c>
      <c r="H50" s="103"/>
      <c r="I50" s="103"/>
      <c r="J50" s="103"/>
      <c r="K50" s="103">
        <f>E50-I50</f>
        <v>13000</v>
      </c>
      <c r="L50" s="103">
        <v>0</v>
      </c>
      <c r="M50" s="103">
        <v>2288.9699999999998</v>
      </c>
      <c r="N50" s="103">
        <f>M50-L50</f>
        <v>2288.9699999999998</v>
      </c>
      <c r="O50" s="103">
        <v>0.03</v>
      </c>
      <c r="P50" s="156">
        <f>ROUND(E50*0.115,2)</f>
        <v>1495</v>
      </c>
      <c r="Q50" s="103">
        <f>SUM(N50:P50)+G50</f>
        <v>9900.7999999999993</v>
      </c>
      <c r="R50" s="171">
        <f>K50-Q50</f>
        <v>3099.2000000000007</v>
      </c>
      <c r="S50" s="170">
        <v>598.7128888401827</v>
      </c>
      <c r="T50" s="128">
        <f t="shared" ref="T50" si="37">ROUND(+E50*17.5%,2)+ROUND(E50*3%,2)</f>
        <v>2665</v>
      </c>
      <c r="U50" s="157">
        <f>ROUND(+E50*2%,2)</f>
        <v>260</v>
      </c>
      <c r="V50" s="129">
        <f t="shared" ref="V50" si="38">SUM(S50:U50)</f>
        <v>3523.7128888401826</v>
      </c>
      <c r="X50" s="169"/>
    </row>
    <row r="51" spans="2:24" ht="18.75" x14ac:dyDescent="0.3">
      <c r="B51" s="138" t="s">
        <v>20</v>
      </c>
      <c r="E51" s="134">
        <f>E50</f>
        <v>13000</v>
      </c>
      <c r="F51" s="134"/>
      <c r="G51" s="134">
        <f>+G50</f>
        <v>6116.8</v>
      </c>
      <c r="H51" s="134"/>
      <c r="I51" s="134">
        <f>I50</f>
        <v>0</v>
      </c>
      <c r="J51" s="134">
        <f>J50</f>
        <v>0</v>
      </c>
      <c r="K51" s="134">
        <f>K50</f>
        <v>13000</v>
      </c>
      <c r="L51" s="134">
        <f t="shared" ref="L51:V51" si="39">L50</f>
        <v>0</v>
      </c>
      <c r="M51" s="134">
        <f t="shared" si="39"/>
        <v>2288.9699999999998</v>
      </c>
      <c r="N51" s="134">
        <f t="shared" si="39"/>
        <v>2288.9699999999998</v>
      </c>
      <c r="O51" s="134">
        <f t="shared" si="39"/>
        <v>0.03</v>
      </c>
      <c r="P51" s="134">
        <f>P50</f>
        <v>1495</v>
      </c>
      <c r="Q51" s="134">
        <f t="shared" si="39"/>
        <v>9900.7999999999993</v>
      </c>
      <c r="R51" s="135">
        <f>R50</f>
        <v>3099.2000000000007</v>
      </c>
      <c r="S51" s="134">
        <f t="shared" si="39"/>
        <v>598.7128888401827</v>
      </c>
      <c r="T51" s="134">
        <f t="shared" si="39"/>
        <v>2665</v>
      </c>
      <c r="U51" s="134">
        <f>U50</f>
        <v>260</v>
      </c>
      <c r="V51" s="134">
        <f t="shared" si="39"/>
        <v>3523.7128888401826</v>
      </c>
      <c r="X51" s="169"/>
    </row>
    <row r="52" spans="2:24" ht="12" customHeight="1" x14ac:dyDescent="0.3">
      <c r="B52" s="138"/>
      <c r="E52" s="103"/>
      <c r="F52" s="103"/>
      <c r="G52" s="103"/>
      <c r="H52" s="103"/>
      <c r="I52" s="103"/>
      <c r="J52" s="103"/>
      <c r="K52" s="146"/>
      <c r="L52" s="146"/>
      <c r="M52" s="146"/>
      <c r="N52" s="146"/>
      <c r="O52" s="146"/>
      <c r="P52" s="146"/>
      <c r="Q52" s="146"/>
      <c r="R52" s="147"/>
      <c r="S52" s="148"/>
      <c r="T52" s="148"/>
      <c r="U52" s="148"/>
      <c r="V52" s="148"/>
    </row>
    <row r="53" spans="2:24" ht="18.75" hidden="1" x14ac:dyDescent="0.3">
      <c r="R53" s="149"/>
    </row>
    <row r="54" spans="2:24" ht="18.75" x14ac:dyDescent="0.3">
      <c r="C54" s="150" t="s">
        <v>56</v>
      </c>
      <c r="E54" s="151">
        <f>E9+E20+E27+E41+E47+E51</f>
        <v>219167.75999999998</v>
      </c>
      <c r="F54" s="151"/>
      <c r="G54" s="152">
        <f>G9+G20+G27+G41+G47+G51</f>
        <v>17342.399999999998</v>
      </c>
      <c r="H54" s="151"/>
      <c r="I54" s="151">
        <f t="shared" ref="I54:V54" si="40">I9+I20+I27+I41+I47+I51</f>
        <v>0</v>
      </c>
      <c r="J54" s="151">
        <f t="shared" si="40"/>
        <v>0</v>
      </c>
      <c r="K54" s="151">
        <f t="shared" si="40"/>
        <v>219167.75999999998</v>
      </c>
      <c r="L54" s="151">
        <f t="shared" si="40"/>
        <v>0</v>
      </c>
      <c r="M54" s="151">
        <f t="shared" si="40"/>
        <v>31517.59</v>
      </c>
      <c r="N54" s="151">
        <f t="shared" si="40"/>
        <v>31517.59</v>
      </c>
      <c r="O54" s="151">
        <f t="shared" si="40"/>
        <v>-0.87</v>
      </c>
      <c r="P54" s="152">
        <f>P9+P20+P27+P41+P47+P51</f>
        <v>25204.260000000002</v>
      </c>
      <c r="Q54" s="151">
        <f t="shared" si="40"/>
        <v>74063.38</v>
      </c>
      <c r="R54" s="153">
        <f t="shared" si="40"/>
        <v>145104.38</v>
      </c>
      <c r="S54" s="151">
        <f t="shared" si="40"/>
        <v>12932.76364118359</v>
      </c>
      <c r="T54" s="151">
        <f>T51+T47+T41+T27+T20+T9</f>
        <v>44929.312474999999</v>
      </c>
      <c r="U54" s="152">
        <f>U9+U20+U27+U41+U47+U51</f>
        <v>4383.45</v>
      </c>
      <c r="V54" s="154">
        <f t="shared" si="40"/>
        <v>62245.526116183602</v>
      </c>
    </row>
    <row r="55" spans="2:24" ht="18.75" x14ac:dyDescent="0.3">
      <c r="S55" s="151"/>
      <c r="T55" s="151"/>
    </row>
    <row r="56" spans="2:24" x14ac:dyDescent="0.25">
      <c r="T56" s="103"/>
      <c r="X56" s="169"/>
    </row>
    <row r="63" spans="2:24" ht="16.5" thickBot="1" x14ac:dyDescent="0.3">
      <c r="E63" s="293"/>
      <c r="F63" s="293"/>
      <c r="G63" s="165"/>
      <c r="H63" s="165"/>
      <c r="P63" s="294"/>
      <c r="Q63" s="294"/>
    </row>
    <row r="64" spans="2:24" ht="15" x14ac:dyDescent="0.25">
      <c r="E64" s="295" t="s">
        <v>91</v>
      </c>
      <c r="F64" s="295"/>
      <c r="G64" s="166"/>
      <c r="H64" s="166"/>
      <c r="P64" s="155"/>
      <c r="Q64" s="155"/>
      <c r="R64" s="296" t="s">
        <v>82</v>
      </c>
      <c r="S64" s="296"/>
      <c r="T64" s="165"/>
    </row>
    <row r="68" spans="3:3" x14ac:dyDescent="0.25">
      <c r="C68" s="102" t="s">
        <v>90</v>
      </c>
    </row>
  </sheetData>
  <mergeCells count="5">
    <mergeCell ref="B4:V4"/>
    <mergeCell ref="E63:F63"/>
    <mergeCell ref="P63:Q63"/>
    <mergeCell ref="E64:F64"/>
    <mergeCell ref="R64:S64"/>
  </mergeCells>
  <pageMargins left="0.51181102362204722" right="0.51181102362204722" top="0.15748031496062992" bottom="0.35433070866141736" header="0.31496062992125984" footer="0.31496062992125984"/>
  <pageSetup scale="47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1185D-064E-44F8-A811-AA2111A8370F}">
  <sheetPr>
    <pageSetUpPr fitToPage="1"/>
  </sheetPr>
  <dimension ref="A3:Z75"/>
  <sheetViews>
    <sheetView topLeftCell="A39" zoomScale="70" zoomScaleNormal="70" workbookViewId="0">
      <selection activeCell="N37" sqref="N37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5.85546875" style="102" bestFit="1" customWidth="1"/>
    <col min="8" max="8" width="14.140625" style="102" hidden="1" customWidth="1"/>
    <col min="9" max="9" width="13.28515625" style="102" customWidth="1"/>
    <col min="10" max="10" width="13.28515625" style="102" hidden="1" customWidth="1"/>
    <col min="11" max="11" width="15.85546875" style="102" bestFit="1" customWidth="1"/>
    <col min="12" max="12" width="9.42578125" style="102" hidden="1" customWidth="1"/>
    <col min="13" max="13" width="14.42578125" style="102" hidden="1" customWidth="1"/>
    <col min="14" max="14" width="15.85546875" style="102" bestFit="1" customWidth="1"/>
    <col min="15" max="15" width="11.140625" style="102" bestFit="1" customWidth="1"/>
    <col min="16" max="16" width="14.42578125" style="102" bestFit="1" customWidth="1"/>
    <col min="17" max="17" width="16.5703125" style="102" customWidth="1"/>
    <col min="18" max="18" width="16.7109375" style="136" customWidth="1"/>
    <col min="19" max="19" width="16.140625" style="102" customWidth="1"/>
    <col min="20" max="20" width="19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6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6" ht="16.5" customHeight="1" x14ac:dyDescent="0.25">
      <c r="B4" s="291" t="s">
        <v>190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6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2" t="s">
        <v>148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6" x14ac:dyDescent="0.25">
      <c r="B6" s="121" t="s">
        <v>13</v>
      </c>
      <c r="C6" s="5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6" ht="21" x14ac:dyDescent="0.35">
      <c r="B7" s="102" t="s">
        <v>15</v>
      </c>
      <c r="C7" s="125"/>
      <c r="D7" s="102" t="s">
        <v>19</v>
      </c>
      <c r="E7" s="103">
        <v>0</v>
      </c>
      <c r="F7" s="126">
        <v>0</v>
      </c>
      <c r="G7" s="141"/>
      <c r="H7" s="103"/>
      <c r="I7" s="103"/>
      <c r="J7" s="103"/>
      <c r="K7" s="103">
        <v>0</v>
      </c>
      <c r="L7" s="103">
        <v>0</v>
      </c>
      <c r="M7" s="103"/>
      <c r="N7" s="103">
        <v>0</v>
      </c>
      <c r="O7" s="103">
        <v>0</v>
      </c>
      <c r="P7" s="156">
        <v>0</v>
      </c>
      <c r="Q7" s="103">
        <f>SUM(N7:P7)+G7</f>
        <v>0</v>
      </c>
      <c r="R7" s="208">
        <f>K7-Q7</f>
        <v>0</v>
      </c>
      <c r="S7" s="29">
        <v>790.02500000000009</v>
      </c>
      <c r="T7" s="128">
        <v>3989.5798249999998</v>
      </c>
      <c r="U7" s="238">
        <v>389.23</v>
      </c>
      <c r="V7" s="129">
        <f>SUM(S7:U7)</f>
        <v>5168.8348249999999</v>
      </c>
      <c r="X7" s="169"/>
    </row>
    <row r="8" spans="2:26" ht="21" x14ac:dyDescent="0.35">
      <c r="B8" s="102" t="s">
        <v>17</v>
      </c>
      <c r="C8" s="125"/>
      <c r="D8" s="102" t="s">
        <v>2</v>
      </c>
      <c r="E8" s="103"/>
      <c r="F8" s="126"/>
      <c r="G8" s="141"/>
      <c r="H8" s="103"/>
      <c r="I8" s="130"/>
      <c r="J8" s="103"/>
      <c r="K8" s="103">
        <f>E8-I8</f>
        <v>0</v>
      </c>
      <c r="L8" s="103">
        <v>0</v>
      </c>
      <c r="M8" s="103"/>
      <c r="N8" s="103"/>
      <c r="O8" s="103"/>
      <c r="P8" s="156">
        <f>ROUND(E8*0.115,2)</f>
        <v>0</v>
      </c>
      <c r="Q8" s="103">
        <f>SUM(N8:P8)+G8</f>
        <v>0</v>
      </c>
      <c r="R8" s="208">
        <f>K8-Q8</f>
        <v>0</v>
      </c>
      <c r="S8" s="29">
        <v>396.69499999999999</v>
      </c>
      <c r="T8" s="128">
        <v>1280.7026499999997</v>
      </c>
      <c r="U8" s="238">
        <v>124.95</v>
      </c>
      <c r="V8" s="129">
        <f>SUM(S8:U8)</f>
        <v>1802.3476499999997</v>
      </c>
      <c r="X8" s="169">
        <v>396.69499999999999</v>
      </c>
      <c r="Y8" s="102">
        <v>1280.7026499999997</v>
      </c>
      <c r="Z8" s="102">
        <v>124.95</v>
      </c>
    </row>
    <row r="9" spans="2:26" ht="18.75" x14ac:dyDescent="0.3">
      <c r="B9" s="131" t="s">
        <v>20</v>
      </c>
      <c r="C9" s="132"/>
      <c r="D9" s="133"/>
      <c r="E9" s="135">
        <f>SUM(E7:E8)</f>
        <v>0</v>
      </c>
      <c r="F9" s="135"/>
      <c r="G9" s="135">
        <f>+G8+G7</f>
        <v>0</v>
      </c>
      <c r="H9" s="135"/>
      <c r="I9" s="135">
        <f t="shared" ref="I9:V9" si="0">SUM(I7:I8)</f>
        <v>0</v>
      </c>
      <c r="J9" s="135">
        <f t="shared" si="0"/>
        <v>0</v>
      </c>
      <c r="K9" s="135">
        <f>SUM(K7:K8)</f>
        <v>0</v>
      </c>
      <c r="L9" s="135">
        <f t="shared" si="0"/>
        <v>0</v>
      </c>
      <c r="M9" s="135">
        <f>SUM(M7:M8)</f>
        <v>0</v>
      </c>
      <c r="N9" s="135">
        <f>SUM(N7:N8)</f>
        <v>0</v>
      </c>
      <c r="O9" s="135">
        <f t="shared" si="0"/>
        <v>0</v>
      </c>
      <c r="P9" s="135">
        <f>SUM(P7:P8)</f>
        <v>0</v>
      </c>
      <c r="Q9" s="135">
        <f t="shared" si="0"/>
        <v>0</v>
      </c>
      <c r="R9" s="135">
        <f>ROUND(SUM(R7:R8),1)</f>
        <v>0</v>
      </c>
      <c r="S9" s="135">
        <f>SUM(S7:S8)</f>
        <v>1186.72</v>
      </c>
      <c r="T9" s="135">
        <f t="shared" si="0"/>
        <v>5270.282475</v>
      </c>
      <c r="U9" s="135">
        <f>SUM(U7:U8)</f>
        <v>514.18000000000006</v>
      </c>
      <c r="V9" s="135">
        <f t="shared" si="0"/>
        <v>6971.1824749999996</v>
      </c>
      <c r="X9" s="169"/>
    </row>
    <row r="10" spans="2:26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6" ht="18.75" x14ac:dyDescent="0.3">
      <c r="B11" s="138" t="s">
        <v>21</v>
      </c>
      <c r="C11" s="31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6" ht="21" x14ac:dyDescent="0.35">
      <c r="B12" s="102" t="s">
        <v>23</v>
      </c>
      <c r="C12" s="125"/>
      <c r="D12" s="102" t="s">
        <v>114</v>
      </c>
      <c r="E12" s="103"/>
      <c r="F12" s="126"/>
      <c r="G12" s="141"/>
      <c r="H12" s="103"/>
      <c r="I12" s="103"/>
      <c r="J12" s="103"/>
      <c r="K12" s="103">
        <f t="shared" ref="K12:K18" si="1">E12-I12</f>
        <v>0</v>
      </c>
      <c r="L12" s="103">
        <v>0</v>
      </c>
      <c r="M12" s="103"/>
      <c r="N12" s="103"/>
      <c r="O12" s="103"/>
      <c r="P12" s="156"/>
      <c r="Q12" s="103">
        <f t="shared" ref="Q12:Q20" si="2">SUM(N12:P12)+G12</f>
        <v>0</v>
      </c>
      <c r="R12" s="190">
        <f t="shared" ref="R12:R18" si="3">K12-Q12</f>
        <v>0</v>
      </c>
      <c r="S12" s="29"/>
      <c r="T12" s="128">
        <v>2665</v>
      </c>
      <c r="U12" s="157">
        <f t="shared" ref="U12:U18" si="4">ROUND(+E12*2%,2)</f>
        <v>0</v>
      </c>
      <c r="V12" s="129">
        <f t="shared" ref="V12:V20" si="5">SUM(S12:U12)</f>
        <v>2665</v>
      </c>
      <c r="X12" s="169"/>
    </row>
    <row r="13" spans="2:26" ht="21" hidden="1" x14ac:dyDescent="0.35">
      <c r="B13" s="102" t="s">
        <v>24</v>
      </c>
      <c r="C13" s="125"/>
      <c r="D13" s="102" t="s">
        <v>116</v>
      </c>
      <c r="E13" s="103"/>
      <c r="F13" s="126"/>
      <c r="G13" s="141"/>
      <c r="H13" s="103"/>
      <c r="I13" s="139"/>
      <c r="J13" s="140"/>
      <c r="K13" s="103">
        <f>E13-I13</f>
        <v>0</v>
      </c>
      <c r="L13" s="103">
        <v>0</v>
      </c>
      <c r="M13" s="103"/>
      <c r="N13" s="103"/>
      <c r="O13" s="103"/>
      <c r="P13" s="156">
        <f t="shared" ref="P13:P18" si="6">ROUND(E13*0.115,2)</f>
        <v>0</v>
      </c>
      <c r="Q13" s="103">
        <f t="shared" si="2"/>
        <v>0</v>
      </c>
      <c r="R13" s="208">
        <f t="shared" si="3"/>
        <v>0</v>
      </c>
      <c r="S13" s="29"/>
      <c r="T13" s="128">
        <f t="shared" ref="T13:T18" si="7">ROUND(+E13*17.5%,2)+ROUND(E13*3%,2)</f>
        <v>0</v>
      </c>
      <c r="U13" s="157">
        <f t="shared" si="4"/>
        <v>0</v>
      </c>
      <c r="V13" s="129">
        <f t="shared" si="5"/>
        <v>0</v>
      </c>
      <c r="X13" s="169"/>
    </row>
    <row r="14" spans="2:26" ht="21" x14ac:dyDescent="0.35">
      <c r="B14" s="102" t="s">
        <v>25</v>
      </c>
      <c r="C14" s="30"/>
      <c r="D14" s="102" t="s">
        <v>115</v>
      </c>
      <c r="E14" s="103"/>
      <c r="F14" s="126"/>
      <c r="G14" s="237"/>
      <c r="H14" s="141"/>
      <c r="I14" s="139"/>
      <c r="J14" s="140"/>
      <c r="K14" s="103">
        <f>E14-I14</f>
        <v>0</v>
      </c>
      <c r="L14" s="103">
        <v>0</v>
      </c>
      <c r="M14" s="103"/>
      <c r="N14" s="103"/>
      <c r="O14" s="103"/>
      <c r="P14" s="156">
        <f>ROUND(E14*0.115,2)</f>
        <v>0</v>
      </c>
      <c r="Q14" s="103">
        <f>SUM(N14:P14)+G14</f>
        <v>0</v>
      </c>
      <c r="R14" s="208">
        <f>K14-Q14</f>
        <v>0</v>
      </c>
      <c r="S14" s="29">
        <v>419.125</v>
      </c>
      <c r="T14" s="128">
        <v>1435.16</v>
      </c>
      <c r="U14" s="238">
        <v>140.02000000000001</v>
      </c>
      <c r="V14" s="129">
        <f t="shared" si="5"/>
        <v>1994.3050000000001</v>
      </c>
      <c r="X14" s="169"/>
    </row>
    <row r="15" spans="2:26" ht="21" hidden="1" x14ac:dyDescent="0.35">
      <c r="B15" s="102" t="s">
        <v>26</v>
      </c>
      <c r="C15" s="125"/>
      <c r="D15" s="102" t="s">
        <v>37</v>
      </c>
      <c r="E15" s="103"/>
      <c r="F15" s="126"/>
      <c r="G15" s="103"/>
      <c r="H15" s="103"/>
      <c r="I15" s="139"/>
      <c r="J15" s="103"/>
      <c r="K15" s="103">
        <f t="shared" si="1"/>
        <v>0</v>
      </c>
      <c r="L15" s="103">
        <v>0</v>
      </c>
      <c r="M15" s="103"/>
      <c r="N15" s="103"/>
      <c r="O15" s="103">
        <v>-0.02</v>
      </c>
      <c r="P15" s="156">
        <f t="shared" si="6"/>
        <v>0</v>
      </c>
      <c r="Q15" s="103"/>
      <c r="R15" s="208">
        <f t="shared" si="3"/>
        <v>0</v>
      </c>
      <c r="S15" s="29"/>
      <c r="T15" s="128">
        <f t="shared" si="7"/>
        <v>0</v>
      </c>
      <c r="U15" s="157">
        <f t="shared" si="4"/>
        <v>0</v>
      </c>
      <c r="V15" s="129">
        <f t="shared" si="5"/>
        <v>0</v>
      </c>
      <c r="X15" s="169"/>
    </row>
    <row r="16" spans="2:26" ht="21" x14ac:dyDescent="0.35">
      <c r="B16" s="102" t="s">
        <v>27</v>
      </c>
      <c r="C16" s="125" t="s">
        <v>40</v>
      </c>
      <c r="D16" s="102" t="s">
        <v>117</v>
      </c>
      <c r="E16" s="103">
        <v>4918.3649999999998</v>
      </c>
      <c r="F16" s="126">
        <v>15</v>
      </c>
      <c r="G16" s="237">
        <v>2050</v>
      </c>
      <c r="H16" s="103"/>
      <c r="I16" s="139"/>
      <c r="J16" s="103"/>
      <c r="K16" s="103">
        <f>E16-I16</f>
        <v>4918.3649999999998</v>
      </c>
      <c r="L16" s="103">
        <v>0</v>
      </c>
      <c r="M16" s="103"/>
      <c r="N16" s="103">
        <v>447.61</v>
      </c>
      <c r="O16" s="103">
        <v>-0.05</v>
      </c>
      <c r="P16" s="240">
        <f>ROUND(E16*0.115,2)</f>
        <v>565.61</v>
      </c>
      <c r="Q16" s="103">
        <f>SUM(N16:P16)+G16</f>
        <v>3063.17</v>
      </c>
      <c r="R16" s="208">
        <f t="shared" si="3"/>
        <v>1855.1949999999997</v>
      </c>
      <c r="S16" s="29">
        <v>361.11500000000001</v>
      </c>
      <c r="T16" s="128">
        <f t="shared" si="7"/>
        <v>1008.26</v>
      </c>
      <c r="U16" s="238">
        <f t="shared" si="4"/>
        <v>98.37</v>
      </c>
      <c r="V16" s="129">
        <f t="shared" si="5"/>
        <v>1467.7449999999999</v>
      </c>
      <c r="X16" s="169"/>
    </row>
    <row r="17" spans="2:24" ht="21" x14ac:dyDescent="0.35">
      <c r="B17" s="102" t="s">
        <v>60</v>
      </c>
      <c r="C17" s="125" t="s">
        <v>41</v>
      </c>
      <c r="D17" s="102" t="s">
        <v>118</v>
      </c>
      <c r="E17" s="103">
        <v>4918.3649999999998</v>
      </c>
      <c r="F17" s="126">
        <v>15</v>
      </c>
      <c r="G17" s="237">
        <v>1367</v>
      </c>
      <c r="H17" s="103"/>
      <c r="I17" s="139"/>
      <c r="J17" s="103"/>
      <c r="K17" s="103">
        <f>E17-I17</f>
        <v>4918.3649999999998</v>
      </c>
      <c r="L17" s="103">
        <v>0</v>
      </c>
      <c r="M17" s="103"/>
      <c r="N17" s="103">
        <v>447.61</v>
      </c>
      <c r="O17" s="103">
        <v>-0.05</v>
      </c>
      <c r="P17" s="240">
        <f t="shared" si="6"/>
        <v>565.61</v>
      </c>
      <c r="Q17" s="103">
        <f>SUM(N17:P17)+G17</f>
        <v>2380.17</v>
      </c>
      <c r="R17" s="208">
        <f>K17-Q17</f>
        <v>2538.1949999999997</v>
      </c>
      <c r="S17" s="29">
        <v>361.11500000000001</v>
      </c>
      <c r="T17" s="128">
        <f t="shared" si="7"/>
        <v>1008.26</v>
      </c>
      <c r="U17" s="238">
        <f t="shared" si="4"/>
        <v>98.37</v>
      </c>
      <c r="V17" s="129">
        <f t="shared" si="5"/>
        <v>1467.7449999999999</v>
      </c>
      <c r="X17" s="169"/>
    </row>
    <row r="18" spans="2:24" ht="21" x14ac:dyDescent="0.35">
      <c r="B18" s="102" t="s">
        <v>61</v>
      </c>
      <c r="C18" s="125" t="s">
        <v>43</v>
      </c>
      <c r="D18" s="102" t="s">
        <v>3</v>
      </c>
      <c r="E18" s="103">
        <v>4358.17</v>
      </c>
      <c r="F18" s="126">
        <v>15</v>
      </c>
      <c r="G18" s="237">
        <v>1211</v>
      </c>
      <c r="H18" s="103"/>
      <c r="I18" s="32"/>
      <c r="J18" s="103"/>
      <c r="K18" s="103">
        <f t="shared" si="1"/>
        <v>4358.17</v>
      </c>
      <c r="L18" s="103"/>
      <c r="M18" s="103"/>
      <c r="N18" s="103">
        <v>357.97</v>
      </c>
      <c r="O18" s="103">
        <v>0.01</v>
      </c>
      <c r="P18" s="240">
        <f t="shared" si="6"/>
        <v>501.19</v>
      </c>
      <c r="Q18" s="103">
        <f t="shared" si="2"/>
        <v>2070.17</v>
      </c>
      <c r="R18" s="208">
        <f t="shared" si="3"/>
        <v>2288</v>
      </c>
      <c r="S18" s="29">
        <v>326.7</v>
      </c>
      <c r="T18" s="128">
        <f t="shared" si="7"/>
        <v>893.43</v>
      </c>
      <c r="U18" s="238">
        <f t="shared" si="4"/>
        <v>87.16</v>
      </c>
      <c r="V18" s="129">
        <f t="shared" si="5"/>
        <v>1307.29</v>
      </c>
      <c r="X18" s="169"/>
    </row>
    <row r="19" spans="2:24" ht="21" x14ac:dyDescent="0.35">
      <c r="B19" s="102" t="s">
        <v>62</v>
      </c>
      <c r="C19" s="125" t="s">
        <v>42</v>
      </c>
      <c r="D19" s="102" t="s">
        <v>119</v>
      </c>
      <c r="E19" s="103">
        <v>4918.3649999999998</v>
      </c>
      <c r="F19" s="126">
        <v>15</v>
      </c>
      <c r="G19" s="237">
        <v>1340.03</v>
      </c>
      <c r="H19" s="130"/>
      <c r="I19" s="139"/>
      <c r="J19" s="103"/>
      <c r="K19" s="103">
        <f>E19-I19+H19</f>
        <v>4918.3649999999998</v>
      </c>
      <c r="L19" s="103"/>
      <c r="M19" s="103"/>
      <c r="N19" s="103">
        <v>447.61</v>
      </c>
      <c r="O19" s="103">
        <v>-0.08</v>
      </c>
      <c r="P19" s="240">
        <f t="shared" ref="P19" si="8">ROUND(E19*0.115,2)</f>
        <v>565.61</v>
      </c>
      <c r="Q19" s="103">
        <f t="shared" ref="Q19" si="9">SUM(N19:P19)+G19</f>
        <v>2353.17</v>
      </c>
      <c r="R19" s="208">
        <f t="shared" ref="R19:R20" si="10">K19-Q19</f>
        <v>2565.1949999999997</v>
      </c>
      <c r="S19" s="29">
        <v>361.11500000000001</v>
      </c>
      <c r="T19" s="128">
        <f t="shared" ref="T19" si="11">ROUND(+E19*17.5%,2)+ROUND(E19*3%,2)</f>
        <v>1008.26</v>
      </c>
      <c r="U19" s="238">
        <f t="shared" ref="U19" si="12">ROUND(+E19*2%,2)</f>
        <v>98.37</v>
      </c>
      <c r="V19" s="129">
        <f t="shared" ref="V19" si="13">SUM(S19:U19)</f>
        <v>1467.7449999999999</v>
      </c>
      <c r="X19" s="169"/>
    </row>
    <row r="20" spans="2:24" ht="21" x14ac:dyDescent="0.35">
      <c r="B20" s="158" t="s">
        <v>187</v>
      </c>
      <c r="C20" s="30" t="s">
        <v>189</v>
      </c>
      <c r="D20" s="158" t="s">
        <v>188</v>
      </c>
      <c r="E20" s="103">
        <v>5902.04</v>
      </c>
      <c r="F20" s="126">
        <v>18</v>
      </c>
      <c r="G20" s="141"/>
      <c r="H20" s="130"/>
      <c r="I20" s="139"/>
      <c r="J20" s="103"/>
      <c r="K20" s="103">
        <f>E20-I20+H20</f>
        <v>5902.04</v>
      </c>
      <c r="L20" s="103"/>
      <c r="M20" s="103"/>
      <c r="N20" s="103">
        <v>969.85</v>
      </c>
      <c r="O20" s="103">
        <v>-0.01</v>
      </c>
      <c r="P20" s="156"/>
      <c r="Q20" s="103">
        <f t="shared" si="2"/>
        <v>969.84</v>
      </c>
      <c r="R20" s="208">
        <f t="shared" si="10"/>
        <v>4932.2</v>
      </c>
      <c r="S20" s="29">
        <v>433.34</v>
      </c>
      <c r="T20" s="128"/>
      <c r="U20" s="157"/>
      <c r="V20" s="129">
        <f t="shared" si="5"/>
        <v>433.34</v>
      </c>
      <c r="X20" s="169"/>
    </row>
    <row r="21" spans="2:24" ht="18.75" x14ac:dyDescent="0.3">
      <c r="B21" s="138" t="s">
        <v>20</v>
      </c>
      <c r="C21" s="194"/>
      <c r="D21" s="133"/>
      <c r="E21" s="135">
        <f>SUM(E12:E20)</f>
        <v>25015.305</v>
      </c>
      <c r="F21" s="135"/>
      <c r="G21" s="135">
        <f>+G20+G18+G17+G16+G12+G13+G14+G19</f>
        <v>5968.03</v>
      </c>
      <c r="H21" s="135"/>
      <c r="I21" s="135">
        <f t="shared" ref="I21:V21" si="14">SUM(I12:I20)</f>
        <v>0</v>
      </c>
      <c r="J21" s="135">
        <f t="shared" si="14"/>
        <v>0</v>
      </c>
      <c r="K21" s="135">
        <f>SUM(K12:K20)</f>
        <v>25015.305</v>
      </c>
      <c r="L21" s="135">
        <f t="shared" ref="L21" si="15">SUM(L12:L20)</f>
        <v>0</v>
      </c>
      <c r="M21" s="135">
        <f>SUM(M12:M20)</f>
        <v>0</v>
      </c>
      <c r="N21" s="135">
        <f>SUM(N12:N20)</f>
        <v>2670.65</v>
      </c>
      <c r="O21" s="135">
        <f t="shared" si="14"/>
        <v>-0.2</v>
      </c>
      <c r="P21" s="135">
        <f>SUM(P12:P20)</f>
        <v>2198.02</v>
      </c>
      <c r="Q21" s="135">
        <f t="shared" si="14"/>
        <v>10836.52</v>
      </c>
      <c r="R21" s="135">
        <f>ROUND(SUM(R12:R20),1)</f>
        <v>14178.8</v>
      </c>
      <c r="S21" s="135">
        <f>SUM(S12:S20)</f>
        <v>2262.5100000000002</v>
      </c>
      <c r="T21" s="135">
        <f t="shared" si="14"/>
        <v>8018.3700000000008</v>
      </c>
      <c r="U21" s="135">
        <f>SUM(U12:U20)</f>
        <v>522.29</v>
      </c>
      <c r="V21" s="135">
        <f t="shared" si="14"/>
        <v>10803.169999999998</v>
      </c>
      <c r="X21" s="169"/>
    </row>
    <row r="22" spans="2:24" ht="18.75" hidden="1" x14ac:dyDescent="0.3">
      <c r="B22" s="138"/>
      <c r="C22" s="136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37"/>
      <c r="X22" s="169"/>
    </row>
    <row r="23" spans="2:24" ht="18.75" x14ac:dyDescent="0.3">
      <c r="B23" s="138" t="s">
        <v>31</v>
      </c>
      <c r="C23" s="31" t="s">
        <v>83</v>
      </c>
      <c r="E23" s="103"/>
      <c r="F23" s="103"/>
      <c r="G23" s="103"/>
      <c r="H23" s="103"/>
      <c r="I23" s="103"/>
      <c r="J23" s="103"/>
      <c r="K23" s="142"/>
      <c r="L23" s="142"/>
      <c r="M23" s="103"/>
      <c r="N23" s="103"/>
      <c r="O23" s="103"/>
      <c r="P23" s="103"/>
      <c r="Q23" s="103"/>
      <c r="R23" s="137"/>
      <c r="X23" s="169"/>
    </row>
    <row r="24" spans="2:24" ht="21" x14ac:dyDescent="0.35">
      <c r="B24" s="102" t="s">
        <v>63</v>
      </c>
      <c r="C24" s="125" t="s">
        <v>110</v>
      </c>
      <c r="D24" s="158" t="s">
        <v>132</v>
      </c>
      <c r="E24" s="103">
        <v>7000.8</v>
      </c>
      <c r="F24" s="126">
        <v>15</v>
      </c>
      <c r="G24" s="103"/>
      <c r="H24" s="103"/>
      <c r="I24" s="103"/>
      <c r="J24" s="103"/>
      <c r="K24" s="103">
        <f>E24-I24</f>
        <v>7000.8</v>
      </c>
      <c r="L24" s="103">
        <v>0</v>
      </c>
      <c r="M24" s="103"/>
      <c r="N24" s="103">
        <v>857.15</v>
      </c>
      <c r="O24" s="103">
        <v>-0.04</v>
      </c>
      <c r="P24" s="240">
        <f>ROUND(E24*0.115,2)</f>
        <v>805.09</v>
      </c>
      <c r="Q24" s="103">
        <f t="shared" ref="Q24:Q25" si="16">SUM(N24:P24)+G24</f>
        <v>1662.2</v>
      </c>
      <c r="R24" s="208">
        <f>K24-Q24</f>
        <v>5338.6</v>
      </c>
      <c r="S24" s="170">
        <v>419.125</v>
      </c>
      <c r="T24" s="128">
        <f t="shared" ref="T24:T27" si="17">ROUND(+E24*17.5%,2)+ROUND(E24*3%,2)</f>
        <v>1435.16</v>
      </c>
      <c r="U24" s="238">
        <f t="shared" ref="U24:U27" si="18">ROUND(+E24*2%,2)</f>
        <v>140.02000000000001</v>
      </c>
      <c r="V24" s="129">
        <f t="shared" ref="V24:V25" si="19">SUM(S24:U24)</f>
        <v>1994.3050000000001</v>
      </c>
      <c r="X24" s="169"/>
    </row>
    <row r="25" spans="2:24" ht="21" x14ac:dyDescent="0.35">
      <c r="B25" s="102" t="s">
        <v>112</v>
      </c>
      <c r="C25" s="125" t="s">
        <v>113</v>
      </c>
      <c r="D25" s="158" t="s">
        <v>133</v>
      </c>
      <c r="E25" s="103">
        <v>7000.8</v>
      </c>
      <c r="F25" s="126">
        <v>15</v>
      </c>
      <c r="G25" s="103"/>
      <c r="H25" s="103"/>
      <c r="I25" s="139"/>
      <c r="J25" s="103"/>
      <c r="K25" s="103">
        <f>E25-I25</f>
        <v>7000.8</v>
      </c>
      <c r="L25" s="103">
        <v>0</v>
      </c>
      <c r="M25" s="103"/>
      <c r="N25" s="103">
        <v>857.15</v>
      </c>
      <c r="O25" s="103">
        <v>-0.04</v>
      </c>
      <c r="P25" s="240">
        <f>ROUND(E25*0.115,2)</f>
        <v>805.09</v>
      </c>
      <c r="Q25" s="103">
        <f t="shared" si="16"/>
        <v>1662.2</v>
      </c>
      <c r="R25" s="208">
        <f>K25-Q25</f>
        <v>5338.6</v>
      </c>
      <c r="S25" s="170">
        <v>419.125</v>
      </c>
      <c r="T25" s="128">
        <f t="shared" si="17"/>
        <v>1435.16</v>
      </c>
      <c r="U25" s="238">
        <f t="shared" si="18"/>
        <v>140.02000000000001</v>
      </c>
      <c r="V25" s="129">
        <f t="shared" si="19"/>
        <v>1994.3050000000001</v>
      </c>
      <c r="X25" s="169"/>
    </row>
    <row r="26" spans="2:24" ht="21" x14ac:dyDescent="0.35">
      <c r="B26" s="102" t="s">
        <v>64</v>
      </c>
      <c r="C26" s="125" t="s">
        <v>45</v>
      </c>
      <c r="D26" s="102" t="s">
        <v>122</v>
      </c>
      <c r="E26" s="103">
        <v>7000.8</v>
      </c>
      <c r="F26" s="126">
        <v>15</v>
      </c>
      <c r="G26" s="141"/>
      <c r="H26" s="103"/>
      <c r="I26" s="143"/>
      <c r="J26" s="103"/>
      <c r="K26" s="103">
        <f>E26-I26</f>
        <v>7000.8</v>
      </c>
      <c r="L26" s="103">
        <v>0</v>
      </c>
      <c r="M26" s="103"/>
      <c r="N26" s="103">
        <v>857.15</v>
      </c>
      <c r="O26" s="103">
        <v>-0.04</v>
      </c>
      <c r="P26" s="240">
        <f>ROUND(E26*0.115,2)</f>
        <v>805.09</v>
      </c>
      <c r="Q26" s="103">
        <f>SUM(N26:P26)+G26</f>
        <v>1662.2</v>
      </c>
      <c r="R26" s="208">
        <f>K26-Q26</f>
        <v>5338.6</v>
      </c>
      <c r="S26" s="170">
        <v>419.125</v>
      </c>
      <c r="T26" s="128">
        <f t="shared" si="17"/>
        <v>1435.16</v>
      </c>
      <c r="U26" s="238">
        <f t="shared" si="18"/>
        <v>140.02000000000001</v>
      </c>
      <c r="V26" s="129">
        <f>SUM(S26:U26)</f>
        <v>1994.3050000000001</v>
      </c>
      <c r="X26" s="169"/>
    </row>
    <row r="27" spans="2:24" ht="21" x14ac:dyDescent="0.35">
      <c r="B27" s="102" t="s">
        <v>65</v>
      </c>
      <c r="C27" s="125" t="s">
        <v>59</v>
      </c>
      <c r="D27" s="158" t="s">
        <v>134</v>
      </c>
      <c r="E27" s="103">
        <v>7000.8</v>
      </c>
      <c r="F27" s="126">
        <v>15</v>
      </c>
      <c r="G27" s="141"/>
      <c r="H27" s="130"/>
      <c r="I27" s="130"/>
      <c r="J27" s="103"/>
      <c r="K27" s="103">
        <f>E27-I27+H27</f>
        <v>7000.8</v>
      </c>
      <c r="L27" s="103">
        <v>0</v>
      </c>
      <c r="M27" s="103"/>
      <c r="N27" s="103">
        <v>857.15</v>
      </c>
      <c r="O27" s="103">
        <v>-0.04</v>
      </c>
      <c r="P27" s="240">
        <f>ROUND(E27*0.115,2)</f>
        <v>805.09</v>
      </c>
      <c r="Q27" s="103">
        <f>SUM(N27:P27)+G27</f>
        <v>1662.2</v>
      </c>
      <c r="R27" s="208">
        <f>K27-Q27</f>
        <v>5338.6</v>
      </c>
      <c r="S27" s="170">
        <v>419.125</v>
      </c>
      <c r="T27" s="128">
        <f t="shared" si="17"/>
        <v>1435.16</v>
      </c>
      <c r="U27" s="238">
        <f t="shared" si="18"/>
        <v>140.02000000000001</v>
      </c>
      <c r="V27" s="129">
        <f>SUM(S27:U27)</f>
        <v>1994.3050000000001</v>
      </c>
      <c r="X27" s="169"/>
    </row>
    <row r="28" spans="2:24" ht="18.75" x14ac:dyDescent="0.3">
      <c r="B28" s="138" t="s">
        <v>20</v>
      </c>
      <c r="C28" s="132"/>
      <c r="D28" s="133"/>
      <c r="E28" s="135">
        <f>SUM(E24:E27)</f>
        <v>28003.200000000001</v>
      </c>
      <c r="F28" s="135"/>
      <c r="G28" s="135">
        <f>+G27+G26+G24+G25</f>
        <v>0</v>
      </c>
      <c r="H28" s="135"/>
      <c r="I28" s="135">
        <f t="shared" ref="I28:J28" si="20">SUM(I24:I27)</f>
        <v>0</v>
      </c>
      <c r="J28" s="135">
        <f t="shared" si="20"/>
        <v>0</v>
      </c>
      <c r="K28" s="135">
        <f>SUM(K24:K27)</f>
        <v>28003.200000000001</v>
      </c>
      <c r="L28" s="135">
        <f t="shared" ref="L28" si="21">SUM(L24:L27)</f>
        <v>0</v>
      </c>
      <c r="M28" s="135">
        <f>SUM(M24:M27)</f>
        <v>0</v>
      </c>
      <c r="N28" s="135">
        <f>SUM(N24:N27)</f>
        <v>3428.6</v>
      </c>
      <c r="O28" s="135">
        <f t="shared" ref="O28:Q28" si="22">SUM(O24:O27)</f>
        <v>-0.16</v>
      </c>
      <c r="P28" s="135">
        <f>SUM(P24:P27)</f>
        <v>3220.36</v>
      </c>
      <c r="Q28" s="135">
        <f t="shared" si="22"/>
        <v>6648.8</v>
      </c>
      <c r="R28" s="135">
        <f>ROUND(SUM(R24:R27),1)</f>
        <v>21354.400000000001</v>
      </c>
      <c r="S28" s="135">
        <f>SUM(S24:S27)</f>
        <v>1676.5</v>
      </c>
      <c r="T28" s="135">
        <f>SUM(T24:T27)</f>
        <v>5740.64</v>
      </c>
      <c r="U28" s="135">
        <f>SUM(U24:U27)</f>
        <v>560.08000000000004</v>
      </c>
      <c r="V28" s="135">
        <f>SUM(V24:V27)</f>
        <v>7977.22</v>
      </c>
      <c r="X28" s="169"/>
    </row>
    <row r="29" spans="2:24" ht="18.75" hidden="1" x14ac:dyDescent="0.3">
      <c r="C29" s="136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37"/>
      <c r="X29" s="169"/>
    </row>
    <row r="30" spans="2:24" ht="18.75" x14ac:dyDescent="0.3">
      <c r="B30" s="138" t="s">
        <v>33</v>
      </c>
      <c r="C30" s="31" t="s">
        <v>32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37"/>
      <c r="X30" s="169"/>
    </row>
    <row r="31" spans="2:24" ht="21" x14ac:dyDescent="0.35">
      <c r="B31" s="102" t="s">
        <v>66</v>
      </c>
      <c r="C31" s="125" t="s">
        <v>49</v>
      </c>
      <c r="D31" s="158" t="s">
        <v>128</v>
      </c>
      <c r="E31" s="103">
        <v>7000.8</v>
      </c>
      <c r="F31" s="126">
        <v>15</v>
      </c>
      <c r="G31" s="103"/>
      <c r="H31" s="103"/>
      <c r="I31" s="144"/>
      <c r="J31" s="103"/>
      <c r="K31" s="103">
        <f t="shared" ref="K31:K44" si="23">E31-I31</f>
        <v>7000.8</v>
      </c>
      <c r="L31" s="103">
        <v>0</v>
      </c>
      <c r="M31" s="103"/>
      <c r="N31" s="103">
        <v>857.15</v>
      </c>
      <c r="O31" s="103">
        <v>-0.04</v>
      </c>
      <c r="P31" s="240">
        <f>ROUND(E31*0.115,2)</f>
        <v>805.09</v>
      </c>
      <c r="Q31" s="103">
        <f t="shared" ref="Q31:Q41" si="24">SUM(N31:P31)+G31</f>
        <v>1662.2</v>
      </c>
      <c r="R31" s="208">
        <f t="shared" ref="R31:R44" si="25">K31-Q31</f>
        <v>5338.6</v>
      </c>
      <c r="S31" s="170">
        <v>419.125</v>
      </c>
      <c r="T31" s="128">
        <f t="shared" ref="T31:T39" si="26">ROUND(+E31*17.5%,2)+ROUND(E31*3%,2)</f>
        <v>1435.16</v>
      </c>
      <c r="U31" s="238">
        <f t="shared" ref="U31:U39" si="27">ROUND(+E31*2%,2)</f>
        <v>140.02000000000001</v>
      </c>
      <c r="V31" s="129">
        <f>SUM(S31:U31)</f>
        <v>1994.3050000000001</v>
      </c>
      <c r="X31" s="169"/>
    </row>
    <row r="32" spans="2:24" ht="21" x14ac:dyDescent="0.35">
      <c r="B32" s="102" t="s">
        <v>67</v>
      </c>
      <c r="C32" s="125" t="s">
        <v>51</v>
      </c>
      <c r="D32" s="158" t="s">
        <v>135</v>
      </c>
      <c r="E32" s="103">
        <v>7000.8</v>
      </c>
      <c r="F32" s="126">
        <v>15</v>
      </c>
      <c r="G32" s="237">
        <v>1556</v>
      </c>
      <c r="H32" s="103"/>
      <c r="I32" s="130"/>
      <c r="J32" s="141"/>
      <c r="K32" s="141">
        <f t="shared" si="23"/>
        <v>7000.8</v>
      </c>
      <c r="L32" s="141">
        <v>0</v>
      </c>
      <c r="M32" s="103"/>
      <c r="N32" s="103">
        <v>857.15</v>
      </c>
      <c r="O32" s="103">
        <v>-0.04</v>
      </c>
      <c r="P32" s="240">
        <f t="shared" ref="P32:P41" si="28">ROUND(E32*0.115,2)</f>
        <v>805.09</v>
      </c>
      <c r="Q32" s="103">
        <f>SUM(N32:P32)+G32</f>
        <v>3218.2</v>
      </c>
      <c r="R32" s="208">
        <f t="shared" si="25"/>
        <v>3782.6000000000004</v>
      </c>
      <c r="S32" s="170">
        <v>419.125</v>
      </c>
      <c r="T32" s="128">
        <f t="shared" si="26"/>
        <v>1435.16</v>
      </c>
      <c r="U32" s="238">
        <f t="shared" si="27"/>
        <v>140.02000000000001</v>
      </c>
      <c r="V32" s="129">
        <f>SUM(S32:U32)</f>
        <v>1994.3050000000001</v>
      </c>
      <c r="X32" s="169"/>
    </row>
    <row r="33" spans="2:24" ht="21" x14ac:dyDescent="0.35">
      <c r="B33" s="102" t="s">
        <v>68</v>
      </c>
      <c r="C33" s="125"/>
      <c r="D33" s="102" t="s">
        <v>123</v>
      </c>
      <c r="E33" s="103"/>
      <c r="F33" s="126"/>
      <c r="G33" s="103"/>
      <c r="H33" s="103"/>
      <c r="I33" s="130"/>
      <c r="J33" s="103"/>
      <c r="K33" s="103">
        <f t="shared" si="23"/>
        <v>0</v>
      </c>
      <c r="L33" s="103">
        <v>0</v>
      </c>
      <c r="M33" s="103"/>
      <c r="N33" s="103"/>
      <c r="O33" s="103"/>
      <c r="P33" s="156">
        <f t="shared" si="28"/>
        <v>0</v>
      </c>
      <c r="Q33" s="103">
        <f t="shared" si="24"/>
        <v>0</v>
      </c>
      <c r="R33" s="208">
        <f t="shared" si="25"/>
        <v>0</v>
      </c>
      <c r="S33" s="170">
        <v>432.30499999999995</v>
      </c>
      <c r="T33" s="128">
        <v>1525.98</v>
      </c>
      <c r="U33" s="238">
        <v>148.88</v>
      </c>
      <c r="V33" s="129">
        <f t="shared" ref="V33:V41" si="29">SUM(S33:U33)</f>
        <v>2107.165</v>
      </c>
      <c r="X33" s="169"/>
    </row>
    <row r="34" spans="2:24" ht="21" x14ac:dyDescent="0.35">
      <c r="B34" s="102" t="s">
        <v>77</v>
      </c>
      <c r="C34" s="125" t="s">
        <v>111</v>
      </c>
      <c r="D34" s="102" t="s">
        <v>127</v>
      </c>
      <c r="E34" s="103">
        <v>7000.8</v>
      </c>
      <c r="F34" s="126">
        <v>15</v>
      </c>
      <c r="G34" s="237">
        <v>1167</v>
      </c>
      <c r="H34" s="103"/>
      <c r="I34" s="144"/>
      <c r="J34" s="103"/>
      <c r="K34" s="103">
        <f>E34-I34</f>
        <v>7000.8</v>
      </c>
      <c r="L34" s="103">
        <v>0</v>
      </c>
      <c r="M34" s="103"/>
      <c r="N34" s="103">
        <v>857.15</v>
      </c>
      <c r="O34" s="103">
        <v>-0.04</v>
      </c>
      <c r="P34" s="240">
        <f t="shared" si="28"/>
        <v>805.09</v>
      </c>
      <c r="Q34" s="103">
        <f>SUM(N34:P34)+G34</f>
        <v>2829.2</v>
      </c>
      <c r="R34" s="208">
        <f>K34-Q34</f>
        <v>4171.6000000000004</v>
      </c>
      <c r="S34" s="170">
        <v>419.125</v>
      </c>
      <c r="T34" s="128">
        <f t="shared" si="26"/>
        <v>1435.16</v>
      </c>
      <c r="U34" s="238">
        <f t="shared" si="27"/>
        <v>140.02000000000001</v>
      </c>
      <c r="V34" s="129">
        <f t="shared" si="29"/>
        <v>1994.3050000000001</v>
      </c>
      <c r="X34" s="169"/>
    </row>
    <row r="35" spans="2:24" ht="21" x14ac:dyDescent="0.35">
      <c r="B35" s="102" t="s">
        <v>70</v>
      </c>
      <c r="C35" s="125" t="s">
        <v>46</v>
      </c>
      <c r="D35" s="102" t="s">
        <v>124</v>
      </c>
      <c r="E35" s="103">
        <v>7000.8</v>
      </c>
      <c r="F35" s="126">
        <v>15</v>
      </c>
      <c r="G35" s="237">
        <v>1945</v>
      </c>
      <c r="H35" s="103"/>
      <c r="I35" s="139"/>
      <c r="J35" s="141"/>
      <c r="K35" s="141">
        <f t="shared" si="23"/>
        <v>7000.8</v>
      </c>
      <c r="L35" s="141">
        <v>0</v>
      </c>
      <c r="M35" s="103"/>
      <c r="N35" s="103">
        <v>857.15</v>
      </c>
      <c r="O35" s="103">
        <v>-0.04</v>
      </c>
      <c r="P35" s="240">
        <f t="shared" si="28"/>
        <v>805.09</v>
      </c>
      <c r="Q35" s="103">
        <f t="shared" si="24"/>
        <v>3607.2</v>
      </c>
      <c r="R35" s="208">
        <f t="shared" si="25"/>
        <v>3393.6000000000004</v>
      </c>
      <c r="S35" s="170">
        <v>419.125</v>
      </c>
      <c r="T35" s="128">
        <f t="shared" si="26"/>
        <v>1435.16</v>
      </c>
      <c r="U35" s="238">
        <f t="shared" si="27"/>
        <v>140.02000000000001</v>
      </c>
      <c r="V35" s="129">
        <f t="shared" si="29"/>
        <v>1994.3050000000001</v>
      </c>
      <c r="X35" s="169"/>
    </row>
    <row r="36" spans="2:24" ht="21" x14ac:dyDescent="0.35">
      <c r="B36" s="102" t="s">
        <v>71</v>
      </c>
      <c r="C36" s="125" t="s">
        <v>50</v>
      </c>
      <c r="D36" s="102" t="s">
        <v>124</v>
      </c>
      <c r="E36" s="103">
        <v>7000.8</v>
      </c>
      <c r="F36" s="126">
        <v>15</v>
      </c>
      <c r="G36" s="237">
        <v>2917</v>
      </c>
      <c r="H36" s="141"/>
      <c r="I36" s="130"/>
      <c r="J36" s="141"/>
      <c r="K36" s="141">
        <f t="shared" si="23"/>
        <v>7000.8</v>
      </c>
      <c r="L36" s="141">
        <v>0</v>
      </c>
      <c r="M36" s="103"/>
      <c r="N36" s="103">
        <v>857.15</v>
      </c>
      <c r="O36" s="103">
        <v>0.16</v>
      </c>
      <c r="P36" s="240">
        <f t="shared" si="28"/>
        <v>805.09</v>
      </c>
      <c r="Q36" s="103">
        <f t="shared" si="24"/>
        <v>4579.3999999999996</v>
      </c>
      <c r="R36" s="208">
        <f t="shared" si="25"/>
        <v>2421.4000000000005</v>
      </c>
      <c r="S36" s="170">
        <v>419.125</v>
      </c>
      <c r="T36" s="128">
        <f t="shared" si="26"/>
        <v>1435.16</v>
      </c>
      <c r="U36" s="238">
        <f t="shared" si="27"/>
        <v>140.02000000000001</v>
      </c>
      <c r="V36" s="129">
        <f t="shared" si="29"/>
        <v>1994.3050000000001</v>
      </c>
      <c r="X36" s="169"/>
    </row>
    <row r="37" spans="2:24" ht="21" x14ac:dyDescent="0.35">
      <c r="B37" s="102" t="s">
        <v>72</v>
      </c>
      <c r="C37" s="125"/>
      <c r="D37" s="102" t="s">
        <v>124</v>
      </c>
      <c r="E37" s="103"/>
      <c r="F37" s="126"/>
      <c r="G37" s="103"/>
      <c r="H37" s="103"/>
      <c r="I37" s="139"/>
      <c r="J37" s="141"/>
      <c r="K37" s="141">
        <f t="shared" si="23"/>
        <v>0</v>
      </c>
      <c r="L37" s="141">
        <v>0</v>
      </c>
      <c r="M37" s="103"/>
      <c r="N37" s="103"/>
      <c r="O37" s="103"/>
      <c r="P37" s="156">
        <f t="shared" si="28"/>
        <v>0</v>
      </c>
      <c r="Q37" s="103">
        <f t="shared" si="24"/>
        <v>0</v>
      </c>
      <c r="R37" s="208">
        <f t="shared" si="25"/>
        <v>0</v>
      </c>
      <c r="S37" s="170">
        <v>419.13</v>
      </c>
      <c r="T37" s="128">
        <v>1435.16</v>
      </c>
      <c r="U37" s="238">
        <v>140.02000000000001</v>
      </c>
      <c r="V37" s="129">
        <f t="shared" si="29"/>
        <v>1994.31</v>
      </c>
      <c r="X37" s="169"/>
    </row>
    <row r="38" spans="2:24" s="162" customFormat="1" ht="21" x14ac:dyDescent="0.35">
      <c r="B38" s="7" t="s">
        <v>73</v>
      </c>
      <c r="C38" s="30" t="s">
        <v>47</v>
      </c>
      <c r="D38" s="7" t="s">
        <v>125</v>
      </c>
      <c r="E38" s="103">
        <v>7000.8</v>
      </c>
      <c r="F38" s="126">
        <v>15</v>
      </c>
      <c r="G38" s="103"/>
      <c r="H38" s="103"/>
      <c r="I38" s="139"/>
      <c r="J38" s="141"/>
      <c r="K38" s="141">
        <f t="shared" si="23"/>
        <v>7000.8</v>
      </c>
      <c r="L38" s="141">
        <v>0</v>
      </c>
      <c r="M38" s="103"/>
      <c r="N38" s="103">
        <v>857.15</v>
      </c>
      <c r="O38" s="103">
        <v>0.16</v>
      </c>
      <c r="P38" s="240">
        <f t="shared" si="28"/>
        <v>805.09</v>
      </c>
      <c r="Q38" s="103">
        <f t="shared" si="24"/>
        <v>1662.4</v>
      </c>
      <c r="R38" s="208">
        <f t="shared" si="25"/>
        <v>5338.4</v>
      </c>
      <c r="S38" s="170">
        <v>419.125</v>
      </c>
      <c r="T38" s="128">
        <f t="shared" si="26"/>
        <v>1435.16</v>
      </c>
      <c r="U38" s="238">
        <f t="shared" si="27"/>
        <v>140.02000000000001</v>
      </c>
      <c r="V38" s="129">
        <f t="shared" si="29"/>
        <v>1994.3050000000001</v>
      </c>
      <c r="X38" s="128"/>
    </row>
    <row r="39" spans="2:24" ht="21" x14ac:dyDescent="0.35">
      <c r="B39" s="102" t="s">
        <v>74</v>
      </c>
      <c r="C39" s="125" t="s">
        <v>53</v>
      </c>
      <c r="D39" s="102" t="s">
        <v>125</v>
      </c>
      <c r="E39" s="103">
        <v>7000.8</v>
      </c>
      <c r="F39" s="126">
        <v>15</v>
      </c>
      <c r="G39" s="141"/>
      <c r="H39" s="103"/>
      <c r="I39" s="139"/>
      <c r="J39" s="103"/>
      <c r="K39" s="103">
        <f t="shared" si="23"/>
        <v>7000.8</v>
      </c>
      <c r="L39" s="103">
        <v>0</v>
      </c>
      <c r="M39" s="103"/>
      <c r="N39" s="103">
        <v>857.15</v>
      </c>
      <c r="O39" s="103">
        <v>0.16</v>
      </c>
      <c r="P39" s="240">
        <f t="shared" si="28"/>
        <v>805.09</v>
      </c>
      <c r="Q39" s="103">
        <f>SUM(N39:P39)+G39</f>
        <v>1662.4</v>
      </c>
      <c r="R39" s="208">
        <f t="shared" si="25"/>
        <v>5338.4</v>
      </c>
      <c r="S39" s="170">
        <v>419.125</v>
      </c>
      <c r="T39" s="128">
        <f t="shared" si="26"/>
        <v>1435.16</v>
      </c>
      <c r="U39" s="238">
        <f t="shared" si="27"/>
        <v>140.02000000000001</v>
      </c>
      <c r="V39" s="129">
        <f t="shared" si="29"/>
        <v>1994.3050000000001</v>
      </c>
      <c r="X39" s="169"/>
    </row>
    <row r="40" spans="2:24" ht="21" x14ac:dyDescent="0.35">
      <c r="B40" s="102" t="s">
        <v>75</v>
      </c>
      <c r="C40" s="125"/>
      <c r="D40" s="102" t="s">
        <v>126</v>
      </c>
      <c r="E40" s="103"/>
      <c r="F40" s="126"/>
      <c r="G40" s="141"/>
      <c r="H40" s="103"/>
      <c r="I40" s="144"/>
      <c r="J40" s="103"/>
      <c r="K40" s="103">
        <f t="shared" si="23"/>
        <v>0</v>
      </c>
      <c r="L40" s="103">
        <v>0</v>
      </c>
      <c r="M40" s="103"/>
      <c r="N40" s="103"/>
      <c r="O40" s="103"/>
      <c r="P40" s="156">
        <f t="shared" si="28"/>
        <v>0</v>
      </c>
      <c r="Q40" s="103">
        <f>SUM(N40:P40)+G40</f>
        <v>0</v>
      </c>
      <c r="R40" s="208">
        <f t="shared" si="25"/>
        <v>0</v>
      </c>
      <c r="S40" s="170">
        <v>419.13</v>
      </c>
      <c r="T40" s="128">
        <v>1435.16</v>
      </c>
      <c r="U40" s="238">
        <v>140.02000000000001</v>
      </c>
      <c r="V40" s="129">
        <f t="shared" si="29"/>
        <v>1994.31</v>
      </c>
      <c r="X40" s="169"/>
    </row>
    <row r="41" spans="2:24" ht="21" x14ac:dyDescent="0.35">
      <c r="B41" s="102" t="s">
        <v>76</v>
      </c>
      <c r="C41" s="125"/>
      <c r="D41" s="102" t="s">
        <v>126</v>
      </c>
      <c r="E41" s="103"/>
      <c r="F41" s="126"/>
      <c r="G41" s="141"/>
      <c r="H41" s="103"/>
      <c r="I41" s="144"/>
      <c r="J41" s="103"/>
      <c r="K41" s="103">
        <f t="shared" si="23"/>
        <v>0</v>
      </c>
      <c r="L41" s="103">
        <v>0</v>
      </c>
      <c r="M41" s="103"/>
      <c r="N41" s="103"/>
      <c r="O41" s="103"/>
      <c r="P41" s="156">
        <f t="shared" si="28"/>
        <v>0</v>
      </c>
      <c r="Q41" s="103">
        <f t="shared" si="24"/>
        <v>0</v>
      </c>
      <c r="R41" s="208">
        <f t="shared" si="25"/>
        <v>0</v>
      </c>
      <c r="S41" s="170">
        <v>419.13</v>
      </c>
      <c r="T41" s="128">
        <v>1435.16</v>
      </c>
      <c r="U41" s="238">
        <v>140.02000000000001</v>
      </c>
      <c r="V41" s="129">
        <f t="shared" si="29"/>
        <v>1994.31</v>
      </c>
      <c r="X41" s="169"/>
    </row>
    <row r="42" spans="2:24" ht="21" x14ac:dyDescent="0.35">
      <c r="B42" s="158" t="s">
        <v>150</v>
      </c>
      <c r="C42" s="30" t="s">
        <v>171</v>
      </c>
      <c r="D42" s="158" t="s">
        <v>109</v>
      </c>
      <c r="E42" s="103">
        <v>7000.8</v>
      </c>
      <c r="F42" s="126">
        <v>15</v>
      </c>
      <c r="G42" s="141"/>
      <c r="H42" s="103"/>
      <c r="I42" s="144"/>
      <c r="J42" s="103"/>
      <c r="K42" s="103">
        <f t="shared" si="23"/>
        <v>7000.8</v>
      </c>
      <c r="L42" s="103">
        <v>0</v>
      </c>
      <c r="M42" s="103"/>
      <c r="N42" s="103">
        <v>857.15</v>
      </c>
      <c r="O42" s="103">
        <v>0.05</v>
      </c>
      <c r="P42" s="141"/>
      <c r="Q42" s="103">
        <f t="shared" ref="Q42:Q44" si="30">SUM(N42:P42)+G42</f>
        <v>857.19999999999993</v>
      </c>
      <c r="R42" s="208">
        <f t="shared" si="25"/>
        <v>6143.6</v>
      </c>
      <c r="S42" s="170">
        <v>419.125</v>
      </c>
      <c r="T42" s="128"/>
      <c r="U42" s="157"/>
      <c r="V42" s="129">
        <f t="shared" ref="V42:V44" si="31">SUM(S42:U42)</f>
        <v>419.125</v>
      </c>
      <c r="X42" s="169"/>
    </row>
    <row r="43" spans="2:24" ht="21" x14ac:dyDescent="0.35">
      <c r="B43" s="158" t="s">
        <v>151</v>
      </c>
      <c r="C43" s="30" t="s">
        <v>172</v>
      </c>
      <c r="D43" s="158" t="s">
        <v>109</v>
      </c>
      <c r="E43" s="103">
        <v>7000.8</v>
      </c>
      <c r="F43" s="126">
        <v>14</v>
      </c>
      <c r="G43" s="141"/>
      <c r="H43" s="103"/>
      <c r="I43" s="144">
        <v>466.72</v>
      </c>
      <c r="J43" s="103"/>
      <c r="K43" s="103">
        <f t="shared" si="23"/>
        <v>6534.08</v>
      </c>
      <c r="L43" s="103">
        <v>0</v>
      </c>
      <c r="M43" s="103"/>
      <c r="N43" s="103">
        <v>857.15</v>
      </c>
      <c r="O43" s="103">
        <v>0.13</v>
      </c>
      <c r="P43" s="141"/>
      <c r="Q43" s="103">
        <f t="shared" si="30"/>
        <v>857.28</v>
      </c>
      <c r="R43" s="208">
        <f t="shared" si="25"/>
        <v>5676.8</v>
      </c>
      <c r="S43" s="170">
        <v>419.125</v>
      </c>
      <c r="T43" s="128"/>
      <c r="U43" s="157"/>
      <c r="V43" s="129">
        <f t="shared" si="31"/>
        <v>419.125</v>
      </c>
      <c r="X43" s="169"/>
    </row>
    <row r="44" spans="2:24" ht="21" x14ac:dyDescent="0.35">
      <c r="B44" s="158" t="s">
        <v>152</v>
      </c>
      <c r="C44" s="30" t="s">
        <v>173</v>
      </c>
      <c r="D44" s="158" t="s">
        <v>109</v>
      </c>
      <c r="E44" s="103">
        <v>7000.8</v>
      </c>
      <c r="F44" s="126">
        <v>15</v>
      </c>
      <c r="G44" s="141"/>
      <c r="H44" s="103"/>
      <c r="I44" s="144"/>
      <c r="J44" s="103"/>
      <c r="K44" s="103">
        <f t="shared" si="23"/>
        <v>7000.8</v>
      </c>
      <c r="L44" s="103">
        <v>0</v>
      </c>
      <c r="M44" s="103"/>
      <c r="N44" s="103">
        <v>857.15</v>
      </c>
      <c r="O44" s="103">
        <v>0.05</v>
      </c>
      <c r="P44" s="141"/>
      <c r="Q44" s="103">
        <f t="shared" si="30"/>
        <v>857.19999999999993</v>
      </c>
      <c r="R44" s="208">
        <f t="shared" si="25"/>
        <v>6143.6</v>
      </c>
      <c r="S44" s="170">
        <v>419.125</v>
      </c>
      <c r="T44" s="128"/>
      <c r="U44" s="157"/>
      <c r="V44" s="129">
        <f t="shared" si="31"/>
        <v>419.125</v>
      </c>
      <c r="X44" s="169"/>
    </row>
    <row r="45" spans="2:24" ht="18.75" x14ac:dyDescent="0.3">
      <c r="B45" s="138" t="s">
        <v>20</v>
      </c>
      <c r="C45" s="132"/>
      <c r="D45" s="133"/>
      <c r="E45" s="135">
        <f t="shared" ref="E45:Q45" si="32">SUM(E31:E44)</f>
        <v>70008.000000000015</v>
      </c>
      <c r="F45" s="135"/>
      <c r="G45" s="135">
        <f t="shared" si="32"/>
        <v>7585</v>
      </c>
      <c r="H45" s="135">
        <f t="shared" si="32"/>
        <v>0</v>
      </c>
      <c r="I45" s="135">
        <f t="shared" si="32"/>
        <v>466.72</v>
      </c>
      <c r="J45" s="135">
        <f t="shared" si="32"/>
        <v>0</v>
      </c>
      <c r="K45" s="135">
        <f t="shared" si="32"/>
        <v>69541.280000000013</v>
      </c>
      <c r="L45" s="135">
        <f t="shared" si="32"/>
        <v>0</v>
      </c>
      <c r="M45" s="135">
        <f t="shared" si="32"/>
        <v>0</v>
      </c>
      <c r="N45" s="135">
        <f t="shared" si="32"/>
        <v>8571.4999999999982</v>
      </c>
      <c r="O45" s="135">
        <f t="shared" si="32"/>
        <v>0.55000000000000004</v>
      </c>
      <c r="P45" s="135">
        <f>SUM(P31:P44)</f>
        <v>5635.63</v>
      </c>
      <c r="Q45" s="135">
        <f t="shared" si="32"/>
        <v>21792.68</v>
      </c>
      <c r="R45" s="135">
        <f>ROUND(SUM(R31:R44),1)</f>
        <v>47748.6</v>
      </c>
      <c r="S45" s="135">
        <f>SUM(S31:S44)</f>
        <v>5880.9449999999997</v>
      </c>
      <c r="T45" s="135">
        <f>SUM(T31:T44)</f>
        <v>15877.58</v>
      </c>
      <c r="U45" s="135">
        <f>SUM(U31:U44)</f>
        <v>1549.08</v>
      </c>
      <c r="V45" s="135">
        <f>SUM(V31:V44)</f>
        <v>23307.605000000003</v>
      </c>
      <c r="X45" s="169"/>
    </row>
    <row r="46" spans="2:24" ht="18.75" hidden="1" x14ac:dyDescent="0.3">
      <c r="C46" s="136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37"/>
      <c r="X46" s="169"/>
    </row>
    <row r="47" spans="2:24" ht="18.75" x14ac:dyDescent="0.3">
      <c r="B47" s="138" t="s">
        <v>78</v>
      </c>
      <c r="C47" s="31" t="s">
        <v>34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37"/>
      <c r="X47" s="169"/>
    </row>
    <row r="48" spans="2:24" ht="21" x14ac:dyDescent="0.35">
      <c r="B48" s="102" t="s">
        <v>69</v>
      </c>
      <c r="C48" s="125"/>
      <c r="D48" s="102" t="s">
        <v>130</v>
      </c>
      <c r="E48" s="103"/>
      <c r="F48" s="126"/>
      <c r="G48" s="137"/>
      <c r="H48" s="103"/>
      <c r="I48" s="144"/>
      <c r="J48" s="141"/>
      <c r="K48" s="141">
        <f t="shared" ref="K48" si="33">E48-I48</f>
        <v>0</v>
      </c>
      <c r="L48" s="141"/>
      <c r="M48" s="103"/>
      <c r="N48" s="103"/>
      <c r="O48" s="103"/>
      <c r="P48" s="156">
        <f t="shared" ref="P48:P50" si="34">ROUND(E48*0.115,2)</f>
        <v>0</v>
      </c>
      <c r="Q48" s="103">
        <f t="shared" ref="Q48" si="35">SUM(N48:P48)+G48</f>
        <v>0</v>
      </c>
      <c r="R48" s="208">
        <f t="shared" ref="R48" si="36">K48-Q48</f>
        <v>0</v>
      </c>
      <c r="S48" s="170">
        <v>432.30499999999995</v>
      </c>
      <c r="T48" s="128">
        <v>1525.98</v>
      </c>
      <c r="U48" s="238">
        <v>148.88</v>
      </c>
      <c r="V48" s="129">
        <f t="shared" ref="V48:V53" si="37">SUM(S48:U48)</f>
        <v>2107.165</v>
      </c>
      <c r="X48" s="169"/>
    </row>
    <row r="49" spans="1:25" ht="21" x14ac:dyDescent="0.35">
      <c r="B49" s="102" t="s">
        <v>81</v>
      </c>
      <c r="C49" s="125"/>
      <c r="D49" s="102" t="s">
        <v>128</v>
      </c>
      <c r="E49" s="103"/>
      <c r="F49" s="126"/>
      <c r="G49" s="141"/>
      <c r="H49" s="103"/>
      <c r="I49" s="144"/>
      <c r="J49" s="103"/>
      <c r="K49" s="103">
        <f>E49-I49</f>
        <v>0</v>
      </c>
      <c r="L49" s="103"/>
      <c r="M49" s="103"/>
      <c r="N49" s="103"/>
      <c r="O49" s="103"/>
      <c r="P49" s="156">
        <f t="shared" si="34"/>
        <v>0</v>
      </c>
      <c r="Q49" s="103">
        <f>SUM(N49:P49)+G49</f>
        <v>0</v>
      </c>
      <c r="R49" s="208">
        <f>K49-Q49</f>
        <v>0</v>
      </c>
      <c r="S49" s="170">
        <v>419.13</v>
      </c>
      <c r="T49" s="128">
        <v>1435.16</v>
      </c>
      <c r="U49" s="238">
        <v>140.02000000000001</v>
      </c>
      <c r="V49" s="129">
        <f t="shared" si="37"/>
        <v>1994.31</v>
      </c>
      <c r="X49" s="169"/>
    </row>
    <row r="50" spans="1:25" ht="21" x14ac:dyDescent="0.35">
      <c r="B50" s="102" t="s">
        <v>107</v>
      </c>
      <c r="C50" s="125" t="s">
        <v>108</v>
      </c>
      <c r="D50" s="102" t="s">
        <v>109</v>
      </c>
      <c r="E50" s="103">
        <v>7000.8</v>
      </c>
      <c r="F50" s="126">
        <v>15</v>
      </c>
      <c r="G50" s="103"/>
      <c r="H50" s="103"/>
      <c r="I50" s="144"/>
      <c r="J50" s="103"/>
      <c r="K50" s="103">
        <f>E50-I50</f>
        <v>7000.8</v>
      </c>
      <c r="L50" s="103"/>
      <c r="M50" s="103"/>
      <c r="N50" s="103">
        <v>857.15</v>
      </c>
      <c r="O50" s="103">
        <v>-0.04</v>
      </c>
      <c r="P50" s="240">
        <f t="shared" si="34"/>
        <v>805.09</v>
      </c>
      <c r="Q50" s="103">
        <f>SUM(N50:P50)+G50</f>
        <v>1662.2</v>
      </c>
      <c r="R50" s="208">
        <f>K50-Q50</f>
        <v>5338.6</v>
      </c>
      <c r="S50" s="170">
        <v>419.125</v>
      </c>
      <c r="T50" s="128">
        <f t="shared" ref="T50" si="38">ROUND(+E50*17.5%,2)+ROUND(E50*3%,2)</f>
        <v>1435.16</v>
      </c>
      <c r="U50" s="238">
        <f t="shared" ref="U50" si="39">ROUND(+E50*2%,2)</f>
        <v>140.02000000000001</v>
      </c>
      <c r="V50" s="129">
        <f t="shared" si="37"/>
        <v>1994.3050000000001</v>
      </c>
      <c r="X50" s="169"/>
    </row>
    <row r="51" spans="1:25" ht="31.5" x14ac:dyDescent="0.35">
      <c r="A51" s="102" t="s">
        <v>179</v>
      </c>
      <c r="B51" s="158" t="s">
        <v>156</v>
      </c>
      <c r="C51" s="30" t="s">
        <v>183</v>
      </c>
      <c r="D51" s="198" t="s">
        <v>160</v>
      </c>
      <c r="E51" s="103">
        <v>6791.5</v>
      </c>
      <c r="F51" s="126">
        <v>15</v>
      </c>
      <c r="G51" s="141"/>
      <c r="H51" s="103"/>
      <c r="I51" s="144"/>
      <c r="J51" s="103"/>
      <c r="K51" s="103">
        <f t="shared" ref="K51:K53" si="40">E51-I51</f>
        <v>6791.5</v>
      </c>
      <c r="L51" s="103"/>
      <c r="M51" s="103"/>
      <c r="N51" s="103">
        <v>812.45</v>
      </c>
      <c r="O51" s="103">
        <v>0.05</v>
      </c>
      <c r="P51" s="156"/>
      <c r="Q51" s="103">
        <f t="shared" ref="Q51" si="41">SUM(N51:P51)+G51</f>
        <v>812.5</v>
      </c>
      <c r="R51" s="208">
        <f t="shared" ref="R51:R52" si="42">K51-Q51</f>
        <v>5979</v>
      </c>
      <c r="S51" s="170">
        <v>412.89499999999998</v>
      </c>
      <c r="T51" s="128"/>
      <c r="U51" s="157"/>
      <c r="V51" s="129">
        <f t="shared" ref="V51" si="43">SUM(S51:U51)</f>
        <v>412.89499999999998</v>
      </c>
      <c r="X51" s="169"/>
    </row>
    <row r="52" spans="1:25" ht="31.5" x14ac:dyDescent="0.35">
      <c r="B52" s="158" t="s">
        <v>157</v>
      </c>
      <c r="C52" s="30" t="s">
        <v>168</v>
      </c>
      <c r="D52" s="198" t="s">
        <v>160</v>
      </c>
      <c r="E52" s="103">
        <v>6791.5</v>
      </c>
      <c r="F52" s="126">
        <v>15</v>
      </c>
      <c r="G52" s="141"/>
      <c r="H52" s="103"/>
      <c r="I52" s="144"/>
      <c r="J52" s="103"/>
      <c r="K52" s="103">
        <f t="shared" si="40"/>
        <v>6791.5</v>
      </c>
      <c r="L52" s="103"/>
      <c r="M52" s="103"/>
      <c r="N52" s="103">
        <v>812.45</v>
      </c>
      <c r="O52" s="103">
        <v>0.05</v>
      </c>
      <c r="P52" s="156"/>
      <c r="Q52" s="103">
        <f t="shared" ref="Q52:Q53" si="44">SUM(N52:P52)+G52</f>
        <v>812.5</v>
      </c>
      <c r="R52" s="208">
        <f t="shared" si="42"/>
        <v>5979</v>
      </c>
      <c r="S52" s="170">
        <v>412.89499999999998</v>
      </c>
      <c r="T52" s="128"/>
      <c r="U52" s="157"/>
      <c r="V52" s="129">
        <f t="shared" si="37"/>
        <v>412.89499999999998</v>
      </c>
      <c r="X52" s="169"/>
    </row>
    <row r="53" spans="1:25" ht="31.5" x14ac:dyDescent="0.35">
      <c r="B53" s="158" t="s">
        <v>158</v>
      </c>
      <c r="C53" s="30" t="s">
        <v>169</v>
      </c>
      <c r="D53" s="198" t="s">
        <v>160</v>
      </c>
      <c r="E53" s="103">
        <v>6791.5</v>
      </c>
      <c r="F53" s="126">
        <v>15</v>
      </c>
      <c r="G53" s="103"/>
      <c r="H53" s="103"/>
      <c r="I53" s="103"/>
      <c r="J53" s="103"/>
      <c r="K53" s="103">
        <f t="shared" si="40"/>
        <v>6791.5</v>
      </c>
      <c r="L53" s="103"/>
      <c r="M53" s="103"/>
      <c r="N53" s="103">
        <v>812.45</v>
      </c>
      <c r="O53" s="103">
        <v>-0.15</v>
      </c>
      <c r="P53" s="156"/>
      <c r="Q53" s="103">
        <f t="shared" si="44"/>
        <v>812.30000000000007</v>
      </c>
      <c r="R53" s="208">
        <f>K53-Q53</f>
        <v>5979.2</v>
      </c>
      <c r="S53" s="170">
        <v>412.89499999999998</v>
      </c>
      <c r="T53" s="128"/>
      <c r="U53" s="157"/>
      <c r="V53" s="129">
        <f t="shared" si="37"/>
        <v>412.89499999999998</v>
      </c>
      <c r="X53" s="169"/>
    </row>
    <row r="54" spans="1:25" ht="18.75" x14ac:dyDescent="0.3">
      <c r="B54" s="138" t="s">
        <v>20</v>
      </c>
      <c r="C54" s="132"/>
      <c r="D54" s="133"/>
      <c r="E54" s="135">
        <f>SUM(E48:E53)</f>
        <v>27375.3</v>
      </c>
      <c r="F54" s="135"/>
      <c r="G54" s="135">
        <f t="shared" ref="G54:Q54" si="45">SUM(G48:G53)</f>
        <v>0</v>
      </c>
      <c r="H54" s="135">
        <f t="shared" si="45"/>
        <v>0</v>
      </c>
      <c r="I54" s="135">
        <f t="shared" si="45"/>
        <v>0</v>
      </c>
      <c r="J54" s="135">
        <f t="shared" si="45"/>
        <v>0</v>
      </c>
      <c r="K54" s="135">
        <f t="shared" si="45"/>
        <v>27375.3</v>
      </c>
      <c r="L54" s="135">
        <f t="shared" si="45"/>
        <v>0</v>
      </c>
      <c r="M54" s="135">
        <f t="shared" si="45"/>
        <v>0</v>
      </c>
      <c r="N54" s="135">
        <f t="shared" si="45"/>
        <v>3294.5</v>
      </c>
      <c r="O54" s="135">
        <f t="shared" si="45"/>
        <v>-0.09</v>
      </c>
      <c r="P54" s="135">
        <f>SUM(P48:P53)</f>
        <v>805.09</v>
      </c>
      <c r="Q54" s="135">
        <f t="shared" si="45"/>
        <v>4099.5</v>
      </c>
      <c r="R54" s="135">
        <f>ROUND(SUM(R48:R53),1)</f>
        <v>23275.8</v>
      </c>
      <c r="S54" s="135">
        <f>SUM(S48:S53)</f>
        <v>2509.2449999999999</v>
      </c>
      <c r="T54" s="135">
        <f>SUM(T48:T53)</f>
        <v>4396.3</v>
      </c>
      <c r="U54" s="135">
        <f>SUM(U48:U53)</f>
        <v>428.91999999999996</v>
      </c>
      <c r="V54" s="135">
        <f>SUM(V48:V53)</f>
        <v>7334.465000000002</v>
      </c>
      <c r="X54" s="169"/>
    </row>
    <row r="55" spans="1:25" ht="18.75" x14ac:dyDescent="0.3">
      <c r="B55" s="138"/>
      <c r="C55" s="136"/>
      <c r="E55" s="103"/>
      <c r="F55" s="103"/>
      <c r="G55" s="103"/>
      <c r="H55" s="103"/>
      <c r="I55" s="103"/>
      <c r="J55" s="103"/>
      <c r="K55" s="146"/>
      <c r="L55" s="146"/>
      <c r="M55" s="146"/>
      <c r="N55" s="146"/>
      <c r="O55" s="146"/>
      <c r="P55" s="146"/>
      <c r="Q55" s="146"/>
      <c r="R55" s="147"/>
      <c r="S55" s="148"/>
      <c r="T55" s="148"/>
      <c r="U55" s="148"/>
      <c r="V55" s="148"/>
      <c r="X55" s="169"/>
    </row>
    <row r="56" spans="1:25" ht="18.75" x14ac:dyDescent="0.3">
      <c r="B56" s="138" t="s">
        <v>84</v>
      </c>
      <c r="C56" s="31" t="s">
        <v>85</v>
      </c>
      <c r="E56" s="103"/>
      <c r="F56" s="103"/>
      <c r="G56" s="103"/>
      <c r="H56" s="103"/>
      <c r="I56" s="103"/>
      <c r="J56" s="103"/>
      <c r="K56" s="146"/>
      <c r="L56" s="146"/>
      <c r="M56" s="146"/>
      <c r="N56" s="146"/>
      <c r="O56" s="146"/>
      <c r="P56" s="146"/>
      <c r="Q56" s="146"/>
      <c r="R56" s="147"/>
      <c r="S56" s="148"/>
      <c r="T56" s="148"/>
      <c r="U56" s="148"/>
      <c r="V56" s="148"/>
      <c r="X56" s="169"/>
    </row>
    <row r="57" spans="1:25" ht="21" x14ac:dyDescent="0.35">
      <c r="B57" s="102" t="s">
        <v>86</v>
      </c>
      <c r="C57" s="125"/>
      <c r="D57" s="102" t="s">
        <v>114</v>
      </c>
      <c r="E57" s="103"/>
      <c r="F57" s="126"/>
      <c r="G57" s="141"/>
      <c r="H57" s="103"/>
      <c r="I57" s="103"/>
      <c r="J57" s="103"/>
      <c r="K57" s="103">
        <f>E57-I57</f>
        <v>0</v>
      </c>
      <c r="L57" s="103">
        <v>0</v>
      </c>
      <c r="M57" s="103"/>
      <c r="N57" s="103"/>
      <c r="O57" s="103"/>
      <c r="P57" s="156"/>
      <c r="Q57" s="103">
        <f t="shared" ref="Q57" si="46">SUM(N57:P57)+G57</f>
        <v>0</v>
      </c>
      <c r="R57" s="208">
        <f>K57-Q57</f>
        <v>0</v>
      </c>
      <c r="S57" s="29">
        <v>717.22</v>
      </c>
      <c r="T57" s="128">
        <v>2665</v>
      </c>
      <c r="U57" s="238">
        <v>520</v>
      </c>
      <c r="V57" s="129">
        <f t="shared" ref="V57" si="47">SUM(S57:U57)</f>
        <v>3902.2200000000003</v>
      </c>
      <c r="X57" s="169"/>
    </row>
    <row r="58" spans="1:25" ht="18.75" x14ac:dyDescent="0.3">
      <c r="B58" s="138" t="s">
        <v>20</v>
      </c>
      <c r="E58" s="135">
        <f>E57</f>
        <v>0</v>
      </c>
      <c r="F58" s="135"/>
      <c r="G58" s="135">
        <f>+G57</f>
        <v>0</v>
      </c>
      <c r="H58" s="135"/>
      <c r="I58" s="135">
        <f>I57</f>
        <v>0</v>
      </c>
      <c r="J58" s="135">
        <f>J57</f>
        <v>0</v>
      </c>
      <c r="K58" s="135">
        <f>K57</f>
        <v>0</v>
      </c>
      <c r="L58" s="135">
        <f t="shared" ref="L58:V58" si="48">L57</f>
        <v>0</v>
      </c>
      <c r="M58" s="135">
        <f t="shared" si="48"/>
        <v>0</v>
      </c>
      <c r="N58" s="135">
        <f>N57</f>
        <v>0</v>
      </c>
      <c r="O58" s="135">
        <f t="shared" si="48"/>
        <v>0</v>
      </c>
      <c r="P58" s="135">
        <f>P57</f>
        <v>0</v>
      </c>
      <c r="Q58" s="135">
        <f t="shared" si="48"/>
        <v>0</v>
      </c>
      <c r="R58" s="135">
        <f>ROUND(R57,1)</f>
        <v>0</v>
      </c>
      <c r="S58" s="135">
        <f>S57</f>
        <v>717.22</v>
      </c>
      <c r="T58" s="135">
        <f t="shared" si="48"/>
        <v>2665</v>
      </c>
      <c r="U58" s="135">
        <f>U57</f>
        <v>520</v>
      </c>
      <c r="V58" s="135">
        <f t="shared" si="48"/>
        <v>3902.2200000000003</v>
      </c>
      <c r="X58" s="169"/>
    </row>
    <row r="59" spans="1:25" ht="12" customHeight="1" x14ac:dyDescent="0.3">
      <c r="B59" s="138"/>
      <c r="E59" s="103"/>
      <c r="F59" s="103"/>
      <c r="G59" s="103"/>
      <c r="H59" s="103"/>
      <c r="I59" s="103"/>
      <c r="J59" s="103"/>
      <c r="K59" s="146"/>
      <c r="L59" s="146"/>
      <c r="M59" s="146"/>
      <c r="N59" s="146"/>
      <c r="O59" s="146"/>
      <c r="P59" s="146"/>
      <c r="Q59" s="146"/>
      <c r="R59" s="147"/>
      <c r="S59" s="148"/>
      <c r="T59" s="148"/>
      <c r="U59" s="148"/>
      <c r="V59" s="148"/>
    </row>
    <row r="60" spans="1:25" ht="18.75" x14ac:dyDescent="0.3">
      <c r="R60" s="149"/>
    </row>
    <row r="61" spans="1:25" ht="18.75" x14ac:dyDescent="0.3">
      <c r="C61" s="150" t="s">
        <v>56</v>
      </c>
      <c r="E61" s="151">
        <f>E9+E21+E28+E45+E54+E58</f>
        <v>150401.80500000002</v>
      </c>
      <c r="F61" s="151"/>
      <c r="G61" s="152">
        <f>G9+G21+G28+G45+G54+G58</f>
        <v>13553.029999999999</v>
      </c>
      <c r="H61" s="151"/>
      <c r="I61" s="151">
        <f t="shared" ref="I61:Q61" si="49">I9+I21+I28+I45+I54+I58</f>
        <v>466.72</v>
      </c>
      <c r="J61" s="151">
        <f t="shared" si="49"/>
        <v>0</v>
      </c>
      <c r="K61" s="151">
        <f t="shared" si="49"/>
        <v>149935.08500000002</v>
      </c>
      <c r="L61" s="151">
        <f t="shared" si="49"/>
        <v>0</v>
      </c>
      <c r="M61" s="151">
        <f t="shared" si="49"/>
        <v>0</v>
      </c>
      <c r="N61" s="151">
        <f t="shared" si="49"/>
        <v>17965.25</v>
      </c>
      <c r="O61" s="151">
        <f t="shared" si="49"/>
        <v>0.10000000000000006</v>
      </c>
      <c r="P61" s="152">
        <f t="shared" si="49"/>
        <v>11859.1</v>
      </c>
      <c r="Q61" s="151">
        <f t="shared" si="49"/>
        <v>43377.5</v>
      </c>
      <c r="R61" s="153">
        <f>ROUND(+R9+R21+R28+R45+R54+R58,1)</f>
        <v>106557.6</v>
      </c>
      <c r="S61" s="151">
        <f>S9+S21+S28+S45+S54+S58</f>
        <v>14233.139999999998</v>
      </c>
      <c r="T61" s="151">
        <f>T58+T54+T45+T28+T21+T9</f>
        <v>41968.172474999999</v>
      </c>
      <c r="U61" s="152">
        <f>U9+U21+U28+U45+U54+U58</f>
        <v>4094.55</v>
      </c>
      <c r="V61" s="154">
        <f>V9+V21+V28+V45+V54+V58</f>
        <v>60295.862475000009</v>
      </c>
    </row>
    <row r="62" spans="1:25" ht="18.75" x14ac:dyDescent="0.3">
      <c r="S62" s="151"/>
      <c r="T62" s="151"/>
    </row>
    <row r="63" spans="1:25" x14ac:dyDescent="0.25">
      <c r="T63" s="103"/>
      <c r="X63" s="169"/>
    </row>
    <row r="64" spans="1:25" x14ac:dyDescent="0.25">
      <c r="Y64" s="239">
        <v>2238.06</v>
      </c>
    </row>
    <row r="65" spans="3:25" x14ac:dyDescent="0.25">
      <c r="I65" s="169"/>
      <c r="Y65" s="239">
        <v>856.04</v>
      </c>
    </row>
    <row r="66" spans="3:25" x14ac:dyDescent="0.25">
      <c r="Y66" s="239">
        <v>856.04</v>
      </c>
    </row>
    <row r="67" spans="3:25" x14ac:dyDescent="0.25">
      <c r="Y67" s="158"/>
    </row>
    <row r="68" spans="3:25" x14ac:dyDescent="0.25">
      <c r="Y68" s="241">
        <v>805.09</v>
      </c>
    </row>
    <row r="69" spans="3:25" x14ac:dyDescent="0.25">
      <c r="Y69" s="241">
        <v>805.09</v>
      </c>
    </row>
    <row r="70" spans="3:25" ht="16.5" customHeight="1" thickBot="1" x14ac:dyDescent="0.3">
      <c r="E70" s="293"/>
      <c r="F70" s="293"/>
      <c r="G70" s="235"/>
      <c r="H70" s="235"/>
      <c r="P70" s="160"/>
      <c r="Q70" s="293"/>
      <c r="R70" s="293"/>
      <c r="S70" s="293"/>
      <c r="Y70" s="241">
        <v>805.09</v>
      </c>
    </row>
    <row r="71" spans="3:25" ht="15" x14ac:dyDescent="0.25">
      <c r="E71" s="295" t="s">
        <v>91</v>
      </c>
      <c r="F71" s="295"/>
      <c r="G71" s="236"/>
      <c r="H71" s="236"/>
      <c r="P71" s="155"/>
      <c r="Q71" s="300" t="s">
        <v>184</v>
      </c>
      <c r="R71" s="300"/>
      <c r="S71" s="300"/>
      <c r="T71" s="235"/>
      <c r="Y71" s="241">
        <v>805.09</v>
      </c>
    </row>
    <row r="72" spans="3:25" x14ac:dyDescent="0.25">
      <c r="Y72" s="241">
        <v>805.09</v>
      </c>
    </row>
    <row r="73" spans="3:25" x14ac:dyDescent="0.25">
      <c r="Y73" s="241">
        <v>2990</v>
      </c>
    </row>
    <row r="74" spans="3:25" x14ac:dyDescent="0.25">
      <c r="Y74" s="241">
        <v>718.44</v>
      </c>
    </row>
    <row r="75" spans="3:25" x14ac:dyDescent="0.25">
      <c r="C75" s="102" t="s">
        <v>90</v>
      </c>
      <c r="Y75" s="102">
        <f>SUM(Y64:Y74)</f>
        <v>11684.03</v>
      </c>
    </row>
  </sheetData>
  <mergeCells count="5">
    <mergeCell ref="B4:V4"/>
    <mergeCell ref="E70:F70"/>
    <mergeCell ref="Q70:S70"/>
    <mergeCell ref="E71:F71"/>
    <mergeCell ref="Q71:S71"/>
  </mergeCells>
  <pageMargins left="0.51181102362204722" right="0.51181102362204722" top="0.15748031496062992" bottom="0.35433070866141736" header="0.31496062992125984" footer="0.31496062992125984"/>
  <pageSetup scale="41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5CB7A-FF78-4268-98E5-A21EEADFDF41}">
  <sheetPr>
    <pageSetUpPr fitToPage="1"/>
  </sheetPr>
  <dimension ref="A3:X76"/>
  <sheetViews>
    <sheetView zoomScale="85" zoomScaleNormal="85" workbookViewId="0">
      <selection activeCell="N8" sqref="N8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5.85546875" style="102" bestFit="1" customWidth="1"/>
    <col min="8" max="8" width="14.140625" style="102" hidden="1" customWidth="1"/>
    <col min="9" max="9" width="13.28515625" style="102" customWidth="1"/>
    <col min="10" max="10" width="13.28515625" style="102" hidden="1" customWidth="1"/>
    <col min="11" max="11" width="15.85546875" style="102" bestFit="1" customWidth="1"/>
    <col min="12" max="12" width="9.42578125" style="102" hidden="1" customWidth="1"/>
    <col min="13" max="13" width="14.42578125" style="102" hidden="1" customWidth="1"/>
    <col min="14" max="14" width="15.85546875" style="102" bestFit="1" customWidth="1"/>
    <col min="15" max="15" width="11.140625" style="102" bestFit="1" customWidth="1"/>
    <col min="16" max="16" width="14.42578125" style="102" bestFit="1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4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4" ht="16.5" customHeight="1" x14ac:dyDescent="0.25">
      <c r="B4" s="291" t="s">
        <v>201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4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2" t="s">
        <v>148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4" x14ac:dyDescent="0.25">
      <c r="B6" s="121" t="s">
        <v>13</v>
      </c>
      <c r="C6" s="5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4" ht="21" x14ac:dyDescent="0.35">
      <c r="B7" s="102" t="s">
        <v>15</v>
      </c>
      <c r="C7" s="125" t="s">
        <v>16</v>
      </c>
      <c r="D7" s="102" t="s">
        <v>19</v>
      </c>
      <c r="E7" s="103">
        <v>19461.365000000002</v>
      </c>
      <c r="F7" s="126">
        <v>15</v>
      </c>
      <c r="G7" s="141"/>
      <c r="H7" s="103"/>
      <c r="I7" s="103"/>
      <c r="J7" s="103"/>
      <c r="K7" s="103">
        <f>E7-I7</f>
        <v>19461.365000000002</v>
      </c>
      <c r="L7" s="103">
        <v>0</v>
      </c>
      <c r="M7" s="103"/>
      <c r="N7" s="103">
        <v>3721.35</v>
      </c>
      <c r="O7" s="103">
        <v>-0.04</v>
      </c>
      <c r="P7" s="237">
        <f>ROUND(E7*0.115,2)</f>
        <v>2238.06</v>
      </c>
      <c r="Q7" s="103">
        <f>SUM(N7:P7)+G7</f>
        <v>5959.37</v>
      </c>
      <c r="R7" s="245">
        <f>K7-Q7</f>
        <v>13501.995000000003</v>
      </c>
      <c r="S7" s="29">
        <v>816.3599999999999</v>
      </c>
      <c r="T7" s="128">
        <f>+E7*17.5%+E7*3%</f>
        <v>3989.5798249999998</v>
      </c>
      <c r="U7" s="244">
        <f>ROUND(+E7*2%,2)</f>
        <v>389.23</v>
      </c>
      <c r="V7" s="129">
        <f>SUM(S7:U7)</f>
        <v>5195.169824999999</v>
      </c>
      <c r="X7" s="169"/>
    </row>
    <row r="8" spans="2:24" ht="21" x14ac:dyDescent="0.35">
      <c r="B8" s="102" t="s">
        <v>17</v>
      </c>
      <c r="C8" s="125" t="s">
        <v>18</v>
      </c>
      <c r="D8" s="102" t="s">
        <v>2</v>
      </c>
      <c r="E8" s="103">
        <v>6247.33</v>
      </c>
      <c r="F8" s="126">
        <v>15</v>
      </c>
      <c r="G8" s="237">
        <v>1000</v>
      </c>
      <c r="H8" s="103"/>
      <c r="I8" s="130"/>
      <c r="J8" s="103"/>
      <c r="K8" s="103">
        <f>E8-I8</f>
        <v>6247.33</v>
      </c>
      <c r="L8" s="103">
        <v>0</v>
      </c>
      <c r="M8" s="103"/>
      <c r="N8" s="103">
        <v>696.21</v>
      </c>
      <c r="O8" s="103">
        <v>0.08</v>
      </c>
      <c r="P8" s="237">
        <f>ROUND(E8*0.115,2)</f>
        <v>718.44</v>
      </c>
      <c r="Q8" s="103">
        <f>SUM(N8:P8)+G8</f>
        <v>2414.73</v>
      </c>
      <c r="R8" s="245">
        <f>K8-Q8</f>
        <v>3832.6</v>
      </c>
      <c r="S8" s="29">
        <v>409.92</v>
      </c>
      <c r="T8" s="128">
        <f>+E8*17.5%+E8*3%</f>
        <v>1280.7026499999997</v>
      </c>
      <c r="U8" s="244">
        <f>ROUND(+E8*2%,2)</f>
        <v>124.95</v>
      </c>
      <c r="V8" s="129">
        <f>SUM(S8:U8)</f>
        <v>1815.5726499999998</v>
      </c>
      <c r="X8" s="169"/>
    </row>
    <row r="9" spans="2:24" ht="18.75" x14ac:dyDescent="0.3">
      <c r="B9" s="131" t="s">
        <v>20</v>
      </c>
      <c r="C9" s="132"/>
      <c r="D9" s="133"/>
      <c r="E9" s="135">
        <f>SUM(E7:E8)</f>
        <v>25708.695</v>
      </c>
      <c r="F9" s="135"/>
      <c r="G9" s="135">
        <f>+G8+G7</f>
        <v>1000</v>
      </c>
      <c r="H9" s="135"/>
      <c r="I9" s="135">
        <f t="shared" ref="I9:V9" si="0">SUM(I7:I8)</f>
        <v>0</v>
      </c>
      <c r="J9" s="135">
        <f t="shared" si="0"/>
        <v>0</v>
      </c>
      <c r="K9" s="135">
        <f>SUM(K7:K8)</f>
        <v>25708.695</v>
      </c>
      <c r="L9" s="135">
        <f t="shared" si="0"/>
        <v>0</v>
      </c>
      <c r="M9" s="135">
        <f>SUM(M7:M8)</f>
        <v>0</v>
      </c>
      <c r="N9" s="135">
        <f>SUM(N7:N8)</f>
        <v>4417.5599999999995</v>
      </c>
      <c r="O9" s="135">
        <f t="shared" si="0"/>
        <v>0.04</v>
      </c>
      <c r="P9" s="135">
        <f>SUM(P7:P8)</f>
        <v>2956.5</v>
      </c>
      <c r="Q9" s="135">
        <f t="shared" si="0"/>
        <v>8374.1</v>
      </c>
      <c r="R9" s="135">
        <f>ROUND(SUM(R7:R8),1)</f>
        <v>17334.599999999999</v>
      </c>
      <c r="S9" s="135">
        <f>SUM(S7:S8)</f>
        <v>1226.28</v>
      </c>
      <c r="T9" s="135">
        <f t="shared" si="0"/>
        <v>5270.282475</v>
      </c>
      <c r="U9" s="135">
        <f>SUM(U7:U8)</f>
        <v>514.18000000000006</v>
      </c>
      <c r="V9" s="135">
        <f t="shared" si="0"/>
        <v>7010.7424749999991</v>
      </c>
      <c r="X9" s="169"/>
    </row>
    <row r="10" spans="2:24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4" ht="18.75" x14ac:dyDescent="0.3">
      <c r="B11" s="138" t="s">
        <v>21</v>
      </c>
      <c r="C11" s="31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4" ht="21" x14ac:dyDescent="0.35">
      <c r="B12" s="102" t="s">
        <v>23</v>
      </c>
      <c r="C12" s="125" t="s">
        <v>191</v>
      </c>
      <c r="D12" s="102" t="s">
        <v>114</v>
      </c>
      <c r="E12" s="103">
        <v>13000</v>
      </c>
      <c r="F12" s="126">
        <v>15</v>
      </c>
      <c r="G12" s="141"/>
      <c r="H12" s="103"/>
      <c r="I12" s="103"/>
      <c r="J12" s="103"/>
      <c r="K12" s="103">
        <f t="shared" ref="K12:K18" si="1">E12-I12</f>
        <v>13000</v>
      </c>
      <c r="L12" s="103">
        <v>0</v>
      </c>
      <c r="M12" s="103"/>
      <c r="N12" s="103">
        <v>2161.23</v>
      </c>
      <c r="O12" s="103">
        <v>-0.03</v>
      </c>
      <c r="P12" s="237">
        <f t="shared" ref="P12:P18" si="2">ROUND(E12*0.115,2)</f>
        <v>1495</v>
      </c>
      <c r="Q12" s="103">
        <f t="shared" ref="Q12:Q18" si="3">SUM(N12:P12)+G12</f>
        <v>3656.2</v>
      </c>
      <c r="R12" s="245">
        <f t="shared" ref="R12:R18" si="4">K12-Q12</f>
        <v>9343.7999999999993</v>
      </c>
      <c r="S12" s="29">
        <v>617.625</v>
      </c>
      <c r="T12" s="128">
        <f>ROUND(+E12*17.5%,2)+ROUND(E12*3%,2)</f>
        <v>2665</v>
      </c>
      <c r="U12" s="244">
        <f t="shared" ref="U12:U18" si="5">ROUND(+E12*2%,2)</f>
        <v>260</v>
      </c>
      <c r="V12" s="129">
        <f t="shared" ref="V12:V18" si="6">SUM(S12:U12)</f>
        <v>3542.625</v>
      </c>
      <c r="X12" s="169"/>
    </row>
    <row r="13" spans="2:24" ht="21" x14ac:dyDescent="0.35">
      <c r="B13" s="102" t="s">
        <v>24</v>
      </c>
      <c r="C13" s="125" t="s">
        <v>192</v>
      </c>
      <c r="D13" s="102" t="s">
        <v>116</v>
      </c>
      <c r="E13" s="103">
        <v>7000.8</v>
      </c>
      <c r="F13" s="126">
        <v>15</v>
      </c>
      <c r="G13" s="141"/>
      <c r="H13" s="103"/>
      <c r="I13" s="139"/>
      <c r="J13" s="140"/>
      <c r="K13" s="103">
        <f>E13-I13</f>
        <v>7000.8</v>
      </c>
      <c r="L13" s="103">
        <v>0</v>
      </c>
      <c r="M13" s="103"/>
      <c r="N13" s="103">
        <v>857.15</v>
      </c>
      <c r="O13" s="103">
        <v>0.05</v>
      </c>
      <c r="P13" s="141"/>
      <c r="Q13" s="103">
        <f t="shared" si="3"/>
        <v>857.19999999999993</v>
      </c>
      <c r="R13" s="245">
        <f t="shared" si="4"/>
        <v>6143.6</v>
      </c>
      <c r="S13" s="29">
        <v>433.09500000000003</v>
      </c>
      <c r="T13" s="128"/>
      <c r="U13" s="128"/>
      <c r="V13" s="129">
        <f t="shared" si="6"/>
        <v>433.09500000000003</v>
      </c>
      <c r="X13" s="169"/>
    </row>
    <row r="14" spans="2:24" ht="21" x14ac:dyDescent="0.35">
      <c r="B14" s="102" t="s">
        <v>25</v>
      </c>
      <c r="C14" s="30" t="s">
        <v>174</v>
      </c>
      <c r="D14" s="102" t="s">
        <v>115</v>
      </c>
      <c r="E14" s="103">
        <v>7000.8</v>
      </c>
      <c r="F14" s="126">
        <v>15</v>
      </c>
      <c r="G14" s="237">
        <v>1330.99</v>
      </c>
      <c r="H14" s="141"/>
      <c r="I14" s="139"/>
      <c r="J14" s="140"/>
      <c r="K14" s="103">
        <f>E14-I14</f>
        <v>7000.8</v>
      </c>
      <c r="L14" s="103">
        <v>0</v>
      </c>
      <c r="M14" s="103"/>
      <c r="N14" s="103">
        <v>857.15</v>
      </c>
      <c r="O14" s="103">
        <v>0.17</v>
      </c>
      <c r="P14" s="237">
        <f>ROUND(E14*0.115,2)</f>
        <v>805.09</v>
      </c>
      <c r="Q14" s="103">
        <f>SUM(N14:P14)+G14</f>
        <v>2993.3999999999996</v>
      </c>
      <c r="R14" s="245">
        <f>K14-Q14</f>
        <v>4007.4000000000005</v>
      </c>
      <c r="S14" s="29">
        <v>433.09500000000003</v>
      </c>
      <c r="T14" s="128">
        <f t="shared" ref="T14:T18" si="7">ROUND(+E14*17.5%,2)+ROUND(E14*3%,2)</f>
        <v>1435.16</v>
      </c>
      <c r="U14" s="244">
        <f t="shared" si="5"/>
        <v>140.02000000000001</v>
      </c>
      <c r="V14" s="129">
        <f t="shared" si="6"/>
        <v>2008.2750000000001</v>
      </c>
      <c r="X14" s="169"/>
    </row>
    <row r="15" spans="2:24" ht="21" x14ac:dyDescent="0.35">
      <c r="B15" s="102" t="s">
        <v>26</v>
      </c>
      <c r="C15" s="30" t="s">
        <v>193</v>
      </c>
      <c r="D15" s="102" t="s">
        <v>37</v>
      </c>
      <c r="E15" s="103">
        <v>5955.04</v>
      </c>
      <c r="F15" s="126">
        <v>12</v>
      </c>
      <c r="G15" s="103"/>
      <c r="H15" s="103"/>
      <c r="I15" s="139"/>
      <c r="J15" s="103"/>
      <c r="K15" s="103">
        <f t="shared" si="1"/>
        <v>5955.04</v>
      </c>
      <c r="L15" s="103">
        <v>0</v>
      </c>
      <c r="M15" s="103"/>
      <c r="N15" s="103">
        <v>633.82000000000005</v>
      </c>
      <c r="O15" s="103">
        <v>0.02</v>
      </c>
      <c r="P15" s="141"/>
      <c r="Q15" s="103">
        <f t="shared" si="3"/>
        <v>633.84</v>
      </c>
      <c r="R15" s="245">
        <f t="shared" si="4"/>
        <v>5321.2</v>
      </c>
      <c r="S15" s="29">
        <v>446.71999999999991</v>
      </c>
      <c r="T15" s="128"/>
      <c r="U15" s="128"/>
      <c r="V15" s="129">
        <f t="shared" si="6"/>
        <v>446.71999999999991</v>
      </c>
      <c r="X15" s="169"/>
    </row>
    <row r="16" spans="2:24" ht="21" x14ac:dyDescent="0.35">
      <c r="B16" s="102" t="s">
        <v>27</v>
      </c>
      <c r="C16" s="125" t="s">
        <v>40</v>
      </c>
      <c r="D16" s="102" t="s">
        <v>117</v>
      </c>
      <c r="E16" s="103">
        <v>4918.3649999999998</v>
      </c>
      <c r="F16" s="126">
        <v>15</v>
      </c>
      <c r="G16" s="237">
        <v>2050</v>
      </c>
      <c r="H16" s="103"/>
      <c r="I16" s="139"/>
      <c r="J16" s="103"/>
      <c r="K16" s="103">
        <f>E16-I16</f>
        <v>4918.3649999999998</v>
      </c>
      <c r="L16" s="103">
        <v>0</v>
      </c>
      <c r="M16" s="103"/>
      <c r="N16" s="103">
        <v>447.61</v>
      </c>
      <c r="O16" s="103">
        <v>-0.05</v>
      </c>
      <c r="P16" s="237">
        <f>ROUND(E16*0.115,2)</f>
        <v>565.61</v>
      </c>
      <c r="Q16" s="103">
        <f>SUM(N16:P16)+G16</f>
        <v>3063.17</v>
      </c>
      <c r="R16" s="245">
        <f t="shared" si="4"/>
        <v>1855.1949999999997</v>
      </c>
      <c r="S16" s="29">
        <v>373.15</v>
      </c>
      <c r="T16" s="128">
        <f t="shared" si="7"/>
        <v>1008.26</v>
      </c>
      <c r="U16" s="244">
        <f t="shared" si="5"/>
        <v>98.37</v>
      </c>
      <c r="V16" s="129">
        <f t="shared" si="6"/>
        <v>1479.7799999999997</v>
      </c>
      <c r="X16" s="169"/>
    </row>
    <row r="17" spans="2:24" ht="21" x14ac:dyDescent="0.35">
      <c r="B17" s="102" t="s">
        <v>60</v>
      </c>
      <c r="C17" s="125" t="s">
        <v>41</v>
      </c>
      <c r="D17" s="102" t="s">
        <v>118</v>
      </c>
      <c r="E17" s="103">
        <v>4918.3649999999998</v>
      </c>
      <c r="F17" s="126">
        <v>15</v>
      </c>
      <c r="G17" s="237">
        <v>1367</v>
      </c>
      <c r="H17" s="103"/>
      <c r="I17" s="139"/>
      <c r="J17" s="103"/>
      <c r="K17" s="103">
        <f>E17-I17</f>
        <v>4918.3649999999998</v>
      </c>
      <c r="L17" s="103">
        <v>0</v>
      </c>
      <c r="M17" s="103"/>
      <c r="N17" s="103">
        <v>447.61</v>
      </c>
      <c r="O17" s="103">
        <v>-0.05</v>
      </c>
      <c r="P17" s="237">
        <f t="shared" si="2"/>
        <v>565.61</v>
      </c>
      <c r="Q17" s="103">
        <f>SUM(N17:P17)+G17</f>
        <v>2380.17</v>
      </c>
      <c r="R17" s="245">
        <f>K17-Q17</f>
        <v>2538.1949999999997</v>
      </c>
      <c r="S17" s="29">
        <v>373.15</v>
      </c>
      <c r="T17" s="128">
        <f t="shared" si="7"/>
        <v>1008.26</v>
      </c>
      <c r="U17" s="244">
        <f t="shared" si="5"/>
        <v>98.37</v>
      </c>
      <c r="V17" s="129">
        <f t="shared" si="6"/>
        <v>1479.7799999999997</v>
      </c>
      <c r="X17" s="169"/>
    </row>
    <row r="18" spans="2:24" ht="21" x14ac:dyDescent="0.35">
      <c r="B18" s="102" t="s">
        <v>61</v>
      </c>
      <c r="C18" s="125" t="s">
        <v>43</v>
      </c>
      <c r="D18" s="102" t="s">
        <v>3</v>
      </c>
      <c r="E18" s="103">
        <v>4358.17</v>
      </c>
      <c r="F18" s="126">
        <v>14</v>
      </c>
      <c r="G18" s="237">
        <v>1211</v>
      </c>
      <c r="H18" s="103"/>
      <c r="I18" s="32">
        <v>290.54000000000002</v>
      </c>
      <c r="J18" s="103"/>
      <c r="K18" s="103">
        <f t="shared" si="1"/>
        <v>4067.63</v>
      </c>
      <c r="L18" s="103"/>
      <c r="M18" s="103"/>
      <c r="N18" s="103">
        <v>357.97</v>
      </c>
      <c r="O18" s="103">
        <v>-0.13</v>
      </c>
      <c r="P18" s="237">
        <f t="shared" si="2"/>
        <v>501.19</v>
      </c>
      <c r="Q18" s="103">
        <f t="shared" si="3"/>
        <v>2070.0299999999997</v>
      </c>
      <c r="R18" s="245">
        <f t="shared" si="4"/>
        <v>1997.6000000000004</v>
      </c>
      <c r="S18" s="29">
        <v>337.59</v>
      </c>
      <c r="T18" s="128">
        <f t="shared" si="7"/>
        <v>893.43</v>
      </c>
      <c r="U18" s="244">
        <f t="shared" si="5"/>
        <v>87.16</v>
      </c>
      <c r="V18" s="129">
        <f t="shared" si="6"/>
        <v>1318.18</v>
      </c>
      <c r="X18" s="169"/>
    </row>
    <row r="19" spans="2:24" ht="21" x14ac:dyDescent="0.35">
      <c r="B19" s="102" t="s">
        <v>62</v>
      </c>
      <c r="C19" s="125" t="s">
        <v>42</v>
      </c>
      <c r="D19" s="102" t="s">
        <v>119</v>
      </c>
      <c r="E19" s="103">
        <v>4918.3649999999998</v>
      </c>
      <c r="F19" s="126">
        <v>15</v>
      </c>
      <c r="G19" s="237">
        <v>1340.03</v>
      </c>
      <c r="H19" s="130"/>
      <c r="I19" s="139"/>
      <c r="J19" s="103"/>
      <c r="K19" s="103">
        <f>E19-I19+H19</f>
        <v>4918.3649999999998</v>
      </c>
      <c r="L19" s="103"/>
      <c r="M19" s="103"/>
      <c r="N19" s="103">
        <v>447.61</v>
      </c>
      <c r="O19" s="103">
        <v>-0.08</v>
      </c>
      <c r="P19" s="237">
        <f t="shared" ref="P19" si="8">ROUND(E19*0.115,2)</f>
        <v>565.61</v>
      </c>
      <c r="Q19" s="103">
        <f t="shared" ref="Q19" si="9">SUM(N19:P19)+G19</f>
        <v>2353.17</v>
      </c>
      <c r="R19" s="245">
        <f t="shared" ref="R19:R20" si="10">K19-Q19</f>
        <v>2565.1949999999997</v>
      </c>
      <c r="S19" s="29">
        <v>373.15</v>
      </c>
      <c r="T19" s="128">
        <f t="shared" ref="T19" si="11">ROUND(+E19*17.5%,2)+ROUND(E19*3%,2)</f>
        <v>1008.26</v>
      </c>
      <c r="U19" s="244">
        <f t="shared" ref="U19" si="12">ROUND(+E19*2%,2)</f>
        <v>98.37</v>
      </c>
      <c r="V19" s="129">
        <f t="shared" ref="V19:V20" si="13">SUM(S19:U19)</f>
        <v>1479.7799999999997</v>
      </c>
      <c r="X19" s="169"/>
    </row>
    <row r="20" spans="2:24" ht="21" x14ac:dyDescent="0.35">
      <c r="B20" s="158" t="s">
        <v>187</v>
      </c>
      <c r="C20" s="30" t="s">
        <v>199</v>
      </c>
      <c r="D20" s="158" t="s">
        <v>188</v>
      </c>
      <c r="E20" s="103">
        <v>4918.3649999999998</v>
      </c>
      <c r="F20" s="126">
        <v>15</v>
      </c>
      <c r="G20" s="141"/>
      <c r="H20" s="130"/>
      <c r="I20" s="139"/>
      <c r="J20" s="103"/>
      <c r="K20" s="103">
        <f>E20-I20+H20</f>
        <v>4918.3649999999998</v>
      </c>
      <c r="L20" s="103"/>
      <c r="M20" s="103"/>
      <c r="N20" s="103">
        <v>447.61</v>
      </c>
      <c r="O20" s="103">
        <v>-0.04</v>
      </c>
      <c r="P20" s="141"/>
      <c r="Q20" s="103">
        <f t="shared" ref="Q20" si="14">SUM(N20:P20)+G20</f>
        <v>447.57</v>
      </c>
      <c r="R20" s="245">
        <f t="shared" si="10"/>
        <v>4470.7950000000001</v>
      </c>
      <c r="S20" s="29">
        <v>373.15</v>
      </c>
      <c r="T20" s="128"/>
      <c r="U20" s="128"/>
      <c r="V20" s="129">
        <f t="shared" si="13"/>
        <v>373.15</v>
      </c>
      <c r="X20" s="169"/>
    </row>
    <row r="21" spans="2:24" ht="18.75" x14ac:dyDescent="0.3">
      <c r="B21" s="138" t="s">
        <v>20</v>
      </c>
      <c r="C21" s="194"/>
      <c r="D21" s="133"/>
      <c r="E21" s="135">
        <f>SUM(E12:E20)</f>
        <v>56988.26999999999</v>
      </c>
      <c r="F21" s="135"/>
      <c r="G21" s="135">
        <f>+G20+G18+G17+G16+G12+G13+G14+G19</f>
        <v>7299.0199999999995</v>
      </c>
      <c r="H21" s="135"/>
      <c r="I21" s="135">
        <f t="shared" ref="I21:V21" si="15">SUM(I12:I20)</f>
        <v>290.54000000000002</v>
      </c>
      <c r="J21" s="135">
        <f t="shared" si="15"/>
        <v>0</v>
      </c>
      <c r="K21" s="135">
        <f>SUM(K12:K20)</f>
        <v>56697.729999999989</v>
      </c>
      <c r="L21" s="135">
        <f t="shared" ref="L21" si="16">SUM(L12:L20)</f>
        <v>0</v>
      </c>
      <c r="M21" s="135">
        <f>SUM(M12:M20)</f>
        <v>0</v>
      </c>
      <c r="N21" s="135">
        <f>SUM(N12:N20)</f>
        <v>6657.7599999999993</v>
      </c>
      <c r="O21" s="135">
        <f t="shared" si="15"/>
        <v>-0.14000000000000004</v>
      </c>
      <c r="P21" s="135">
        <f>SUM(P12:P20)</f>
        <v>4498.1100000000006</v>
      </c>
      <c r="Q21" s="135">
        <f t="shared" si="15"/>
        <v>18454.75</v>
      </c>
      <c r="R21" s="135">
        <f>ROUND(SUM(R12:R20),1)</f>
        <v>38243</v>
      </c>
      <c r="S21" s="135">
        <f>SUM(S12:S20)</f>
        <v>3760.7250000000004</v>
      </c>
      <c r="T21" s="135">
        <f t="shared" si="15"/>
        <v>8018.3700000000008</v>
      </c>
      <c r="U21" s="135">
        <f>SUM(U12:U20)</f>
        <v>782.29</v>
      </c>
      <c r="V21" s="135">
        <f t="shared" si="15"/>
        <v>12561.385</v>
      </c>
      <c r="X21" s="169"/>
    </row>
    <row r="22" spans="2:24" ht="18.75" hidden="1" x14ac:dyDescent="0.3">
      <c r="B22" s="138"/>
      <c r="C22" s="136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37"/>
      <c r="X22" s="169"/>
    </row>
    <row r="23" spans="2:24" ht="18.75" x14ac:dyDescent="0.3">
      <c r="B23" s="138" t="s">
        <v>31</v>
      </c>
      <c r="C23" s="31" t="s">
        <v>83</v>
      </c>
      <c r="E23" s="103"/>
      <c r="F23" s="103"/>
      <c r="G23" s="103"/>
      <c r="H23" s="103"/>
      <c r="I23" s="103"/>
      <c r="J23" s="103"/>
      <c r="K23" s="142"/>
      <c r="L23" s="142"/>
      <c r="M23" s="103"/>
      <c r="N23" s="103"/>
      <c r="O23" s="103"/>
      <c r="P23" s="103"/>
      <c r="Q23" s="103"/>
      <c r="R23" s="137"/>
      <c r="X23" s="169"/>
    </row>
    <row r="24" spans="2:24" ht="21" x14ac:dyDescent="0.35">
      <c r="B24" s="102" t="s">
        <v>63</v>
      </c>
      <c r="C24" s="125" t="s">
        <v>110</v>
      </c>
      <c r="D24" s="158" t="s">
        <v>132</v>
      </c>
      <c r="E24" s="103">
        <v>7000.8</v>
      </c>
      <c r="F24" s="126">
        <v>15</v>
      </c>
      <c r="G24" s="103"/>
      <c r="H24" s="103"/>
      <c r="I24" s="103"/>
      <c r="J24" s="103"/>
      <c r="K24" s="103">
        <f>E24-I24</f>
        <v>7000.8</v>
      </c>
      <c r="L24" s="103">
        <v>0</v>
      </c>
      <c r="M24" s="103"/>
      <c r="N24" s="103">
        <v>857.15</v>
      </c>
      <c r="O24" s="103">
        <v>0.16</v>
      </c>
      <c r="P24" s="237">
        <f>ROUND(E24*0.115,2)</f>
        <v>805.09</v>
      </c>
      <c r="Q24" s="103">
        <f t="shared" ref="Q24:Q25" si="17">SUM(N24:P24)+G24</f>
        <v>1662.4</v>
      </c>
      <c r="R24" s="245">
        <f>K24-Q24</f>
        <v>5338.4</v>
      </c>
      <c r="S24" s="170">
        <v>433.09500000000003</v>
      </c>
      <c r="T24" s="128">
        <f t="shared" ref="T24:T27" si="18">ROUND(+E24*17.5%,2)+ROUND(E24*3%,2)</f>
        <v>1435.16</v>
      </c>
      <c r="U24" s="244">
        <f t="shared" ref="U24:U27" si="19">ROUND(+E24*2%,2)</f>
        <v>140.02000000000001</v>
      </c>
      <c r="V24" s="129">
        <f t="shared" ref="V24:V25" si="20">SUM(S24:U24)</f>
        <v>2008.2750000000001</v>
      </c>
      <c r="X24" s="169"/>
    </row>
    <row r="25" spans="2:24" ht="21" x14ac:dyDescent="0.35">
      <c r="B25" s="102" t="s">
        <v>112</v>
      </c>
      <c r="C25" s="125" t="s">
        <v>113</v>
      </c>
      <c r="D25" s="158" t="s">
        <v>133</v>
      </c>
      <c r="E25" s="103">
        <v>7000.8</v>
      </c>
      <c r="F25" s="126">
        <v>15</v>
      </c>
      <c r="G25" s="103"/>
      <c r="H25" s="103"/>
      <c r="I25" s="139"/>
      <c r="J25" s="103"/>
      <c r="K25" s="103">
        <f>E25-I25</f>
        <v>7000.8</v>
      </c>
      <c r="L25" s="103">
        <v>0</v>
      </c>
      <c r="M25" s="103"/>
      <c r="N25" s="103">
        <v>857.15</v>
      </c>
      <c r="O25" s="103">
        <v>0.16</v>
      </c>
      <c r="P25" s="237">
        <f>ROUND(E25*0.115,2)</f>
        <v>805.09</v>
      </c>
      <c r="Q25" s="103">
        <f t="shared" si="17"/>
        <v>1662.4</v>
      </c>
      <c r="R25" s="245">
        <f>K25-Q25</f>
        <v>5338.4</v>
      </c>
      <c r="S25" s="170">
        <v>433.09500000000003</v>
      </c>
      <c r="T25" s="128">
        <f t="shared" si="18"/>
        <v>1435.16</v>
      </c>
      <c r="U25" s="244">
        <f t="shared" si="19"/>
        <v>140.02000000000001</v>
      </c>
      <c r="V25" s="129">
        <f t="shared" si="20"/>
        <v>2008.2750000000001</v>
      </c>
      <c r="X25" s="169"/>
    </row>
    <row r="26" spans="2:24" ht="21" x14ac:dyDescent="0.35">
      <c r="B26" s="102" t="s">
        <v>64</v>
      </c>
      <c r="C26" s="125" t="s">
        <v>45</v>
      </c>
      <c r="D26" s="102" t="s">
        <v>122</v>
      </c>
      <c r="E26" s="103">
        <v>7000.8</v>
      </c>
      <c r="F26" s="126">
        <v>15</v>
      </c>
      <c r="G26" s="141"/>
      <c r="H26" s="103"/>
      <c r="I26" s="143"/>
      <c r="J26" s="103"/>
      <c r="K26" s="103">
        <f>E26-I26</f>
        <v>7000.8</v>
      </c>
      <c r="L26" s="103">
        <v>0</v>
      </c>
      <c r="M26" s="103"/>
      <c r="N26" s="103">
        <v>857.15</v>
      </c>
      <c r="O26" s="103">
        <v>-0.04</v>
      </c>
      <c r="P26" s="237">
        <f>ROUND(E26*0.115,2)</f>
        <v>805.09</v>
      </c>
      <c r="Q26" s="103">
        <f>SUM(N26:P26)+G26</f>
        <v>1662.2</v>
      </c>
      <c r="R26" s="245">
        <f>K26-Q26</f>
        <v>5338.6</v>
      </c>
      <c r="S26" s="170">
        <v>433.09500000000003</v>
      </c>
      <c r="T26" s="128">
        <f t="shared" si="18"/>
        <v>1435.16</v>
      </c>
      <c r="U26" s="244">
        <f t="shared" si="19"/>
        <v>140.02000000000001</v>
      </c>
      <c r="V26" s="129">
        <f>SUM(S26:U26)</f>
        <v>2008.2750000000001</v>
      </c>
      <c r="X26" s="169"/>
    </row>
    <row r="27" spans="2:24" ht="21" x14ac:dyDescent="0.35">
      <c r="B27" s="102" t="s">
        <v>65</v>
      </c>
      <c r="C27" s="125" t="s">
        <v>59</v>
      </c>
      <c r="D27" s="158" t="s">
        <v>134</v>
      </c>
      <c r="E27" s="103">
        <v>7000.8</v>
      </c>
      <c r="F27" s="126">
        <v>15</v>
      </c>
      <c r="G27" s="141"/>
      <c r="H27" s="130"/>
      <c r="I27" s="130"/>
      <c r="J27" s="103"/>
      <c r="K27" s="103">
        <f>E27-I27+H27</f>
        <v>7000.8</v>
      </c>
      <c r="L27" s="103">
        <v>0</v>
      </c>
      <c r="M27" s="103"/>
      <c r="N27" s="103">
        <v>857.15</v>
      </c>
      <c r="O27" s="103">
        <v>-0.04</v>
      </c>
      <c r="P27" s="237">
        <f>ROUND(E27*0.115,2)</f>
        <v>805.09</v>
      </c>
      <c r="Q27" s="103">
        <f>SUM(N27:P27)+G27</f>
        <v>1662.2</v>
      </c>
      <c r="R27" s="245">
        <f>K27-Q27</f>
        <v>5338.6</v>
      </c>
      <c r="S27" s="170">
        <v>433.09500000000003</v>
      </c>
      <c r="T27" s="128">
        <f t="shared" si="18"/>
        <v>1435.16</v>
      </c>
      <c r="U27" s="244">
        <f t="shared" si="19"/>
        <v>140.02000000000001</v>
      </c>
      <c r="V27" s="129">
        <f>SUM(S27:U27)</f>
        <v>2008.2750000000001</v>
      </c>
      <c r="X27" s="169"/>
    </row>
    <row r="28" spans="2:24" ht="18.75" x14ac:dyDescent="0.3">
      <c r="B28" s="138" t="s">
        <v>20</v>
      </c>
      <c r="C28" s="132"/>
      <c r="D28" s="133"/>
      <c r="E28" s="135">
        <f>SUM(E24:E27)</f>
        <v>28003.200000000001</v>
      </c>
      <c r="F28" s="135"/>
      <c r="G28" s="135">
        <f>+G27+G26+G24+G25</f>
        <v>0</v>
      </c>
      <c r="H28" s="135"/>
      <c r="I28" s="135">
        <f t="shared" ref="I28:J28" si="21">SUM(I24:I27)</f>
        <v>0</v>
      </c>
      <c r="J28" s="135">
        <f t="shared" si="21"/>
        <v>0</v>
      </c>
      <c r="K28" s="135">
        <f>SUM(K24:K27)</f>
        <v>28003.200000000001</v>
      </c>
      <c r="L28" s="135">
        <f t="shared" ref="L28" si="22">SUM(L24:L27)</f>
        <v>0</v>
      </c>
      <c r="M28" s="135">
        <f>SUM(M24:M27)</f>
        <v>0</v>
      </c>
      <c r="N28" s="135">
        <f>SUM(N24:N27)</f>
        <v>3428.6</v>
      </c>
      <c r="O28" s="135">
        <f t="shared" ref="O28:Q28" si="23">SUM(O24:O27)</f>
        <v>0.24000000000000002</v>
      </c>
      <c r="P28" s="135">
        <f>SUM(P24:P27)</f>
        <v>3220.36</v>
      </c>
      <c r="Q28" s="135">
        <f t="shared" si="23"/>
        <v>6649.2</v>
      </c>
      <c r="R28" s="135">
        <f>ROUND(SUM(R24:R27),1)</f>
        <v>21354</v>
      </c>
      <c r="S28" s="135">
        <f>SUM(S24:S27)</f>
        <v>1732.38</v>
      </c>
      <c r="T28" s="135">
        <f>SUM(T24:T27)</f>
        <v>5740.64</v>
      </c>
      <c r="U28" s="135">
        <f>SUM(U24:U27)</f>
        <v>560.08000000000004</v>
      </c>
      <c r="V28" s="135">
        <f>SUM(V24:V27)</f>
        <v>8033.1</v>
      </c>
      <c r="X28" s="169"/>
    </row>
    <row r="29" spans="2:24" ht="18.75" hidden="1" x14ac:dyDescent="0.3">
      <c r="C29" s="136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37"/>
      <c r="X29" s="169"/>
    </row>
    <row r="30" spans="2:24" ht="18.75" x14ac:dyDescent="0.3">
      <c r="B30" s="138" t="s">
        <v>33</v>
      </c>
      <c r="C30" s="31" t="s">
        <v>32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37"/>
      <c r="X30" s="169"/>
    </row>
    <row r="31" spans="2:24" ht="21" x14ac:dyDescent="0.35">
      <c r="B31" s="102" t="s">
        <v>66</v>
      </c>
      <c r="C31" s="125" t="s">
        <v>49</v>
      </c>
      <c r="D31" s="158" t="s">
        <v>128</v>
      </c>
      <c r="E31" s="103">
        <v>7000.8</v>
      </c>
      <c r="F31" s="126">
        <v>15</v>
      </c>
      <c r="G31" s="103"/>
      <c r="H31" s="103"/>
      <c r="I31" s="144"/>
      <c r="J31" s="103"/>
      <c r="K31" s="103">
        <f t="shared" ref="K31:K45" si="24">E31-I31</f>
        <v>7000.8</v>
      </c>
      <c r="L31" s="103">
        <v>0</v>
      </c>
      <c r="M31" s="103"/>
      <c r="N31" s="103">
        <v>857.15</v>
      </c>
      <c r="O31" s="103">
        <v>-0.04</v>
      </c>
      <c r="P31" s="237">
        <f>ROUND(E31*0.115,2)</f>
        <v>805.09</v>
      </c>
      <c r="Q31" s="103">
        <f t="shared" ref="Q31:Q38" si="25">SUM(N31:P31)+G31</f>
        <v>1662.2</v>
      </c>
      <c r="R31" s="245">
        <f t="shared" ref="R31:R45" si="26">K31-Q31</f>
        <v>5338.6</v>
      </c>
      <c r="S31" s="170">
        <v>433.09500000000003</v>
      </c>
      <c r="T31" s="128">
        <f t="shared" ref="T31:T41" si="27">ROUND(+E31*17.5%,2)+ROUND(E31*3%,2)</f>
        <v>1435.16</v>
      </c>
      <c r="U31" s="244">
        <f t="shared" ref="U31:U41" si="28">ROUND(+E31*2%,2)</f>
        <v>140.02000000000001</v>
      </c>
      <c r="V31" s="129">
        <f>SUM(S31:U31)</f>
        <v>2008.2750000000001</v>
      </c>
      <c r="X31" s="169"/>
    </row>
    <row r="32" spans="2:24" ht="21" x14ac:dyDescent="0.35">
      <c r="B32" s="102" t="s">
        <v>67</v>
      </c>
      <c r="C32" s="125" t="s">
        <v>51</v>
      </c>
      <c r="D32" s="158" t="s">
        <v>135</v>
      </c>
      <c r="E32" s="103">
        <v>7000.8</v>
      </c>
      <c r="F32" s="126">
        <v>14</v>
      </c>
      <c r="G32" s="237">
        <v>1556</v>
      </c>
      <c r="H32" s="103"/>
      <c r="I32" s="130">
        <v>466.72</v>
      </c>
      <c r="J32" s="141"/>
      <c r="K32" s="141">
        <f t="shared" si="24"/>
        <v>6534.08</v>
      </c>
      <c r="L32" s="141">
        <v>0</v>
      </c>
      <c r="M32" s="103"/>
      <c r="N32" s="103">
        <v>857.15</v>
      </c>
      <c r="O32" s="103">
        <v>0.04</v>
      </c>
      <c r="P32" s="237">
        <f t="shared" ref="P32:P41" si="29">ROUND(E32*0.115,2)</f>
        <v>805.09</v>
      </c>
      <c r="Q32" s="103">
        <f>SUM(N32:P32)+G32</f>
        <v>3218.2799999999997</v>
      </c>
      <c r="R32" s="245">
        <f t="shared" si="26"/>
        <v>3315.8</v>
      </c>
      <c r="S32" s="170">
        <v>433.09500000000003</v>
      </c>
      <c r="T32" s="128">
        <f t="shared" si="27"/>
        <v>1435.16</v>
      </c>
      <c r="U32" s="244">
        <f t="shared" si="28"/>
        <v>140.02000000000001</v>
      </c>
      <c r="V32" s="129">
        <f>SUM(S32:U32)</f>
        <v>2008.2750000000001</v>
      </c>
      <c r="X32" s="169"/>
    </row>
    <row r="33" spans="2:24" ht="21" x14ac:dyDescent="0.35">
      <c r="B33" s="102" t="s">
        <v>68</v>
      </c>
      <c r="C33" s="30" t="s">
        <v>194</v>
      </c>
      <c r="D33" s="102" t="s">
        <v>123</v>
      </c>
      <c r="E33" s="103">
        <v>7443.8</v>
      </c>
      <c r="F33" s="126">
        <v>15</v>
      </c>
      <c r="G33" s="103"/>
      <c r="H33" s="103"/>
      <c r="I33" s="130"/>
      <c r="J33" s="103"/>
      <c r="K33" s="103">
        <f t="shared" si="24"/>
        <v>7443.8</v>
      </c>
      <c r="L33" s="103">
        <v>0</v>
      </c>
      <c r="M33" s="103"/>
      <c r="N33" s="103">
        <v>951.78</v>
      </c>
      <c r="O33" s="103">
        <v>0.02</v>
      </c>
      <c r="P33" s="141"/>
      <c r="Q33" s="103">
        <f t="shared" si="25"/>
        <v>951.8</v>
      </c>
      <c r="R33" s="245">
        <f t="shared" si="26"/>
        <v>6492</v>
      </c>
      <c r="S33" s="170">
        <v>446.71999999999991</v>
      </c>
      <c r="T33" s="128"/>
      <c r="U33" s="128"/>
      <c r="V33" s="129">
        <f t="shared" ref="V33:V41" si="30">SUM(S33:U33)</f>
        <v>446.71999999999991</v>
      </c>
      <c r="X33" s="169"/>
    </row>
    <row r="34" spans="2:24" ht="21" x14ac:dyDescent="0.35">
      <c r="B34" s="102" t="s">
        <v>77</v>
      </c>
      <c r="C34" s="125" t="s">
        <v>111</v>
      </c>
      <c r="D34" s="102" t="s">
        <v>127</v>
      </c>
      <c r="E34" s="103">
        <v>7000.8</v>
      </c>
      <c r="F34" s="126">
        <v>15</v>
      </c>
      <c r="G34" s="237">
        <v>1167</v>
      </c>
      <c r="H34" s="103"/>
      <c r="I34" s="144"/>
      <c r="J34" s="103"/>
      <c r="K34" s="103">
        <f>E34-I34</f>
        <v>7000.8</v>
      </c>
      <c r="L34" s="103">
        <v>0</v>
      </c>
      <c r="M34" s="103"/>
      <c r="N34" s="103">
        <v>857.15</v>
      </c>
      <c r="O34" s="103">
        <v>0.16</v>
      </c>
      <c r="P34" s="237">
        <f t="shared" si="29"/>
        <v>805.09</v>
      </c>
      <c r="Q34" s="103">
        <f>SUM(N34:P34)+G34</f>
        <v>2829.4</v>
      </c>
      <c r="R34" s="245">
        <f>K34-Q34</f>
        <v>4171.3999999999996</v>
      </c>
      <c r="S34" s="170">
        <v>433.09500000000003</v>
      </c>
      <c r="T34" s="128">
        <f t="shared" si="27"/>
        <v>1435.16</v>
      </c>
      <c r="U34" s="244">
        <f t="shared" si="28"/>
        <v>140.02000000000001</v>
      </c>
      <c r="V34" s="129">
        <f t="shared" si="30"/>
        <v>2008.2750000000001</v>
      </c>
      <c r="X34" s="169"/>
    </row>
    <row r="35" spans="2:24" ht="21" x14ac:dyDescent="0.35">
      <c r="B35" s="102" t="s">
        <v>70</v>
      </c>
      <c r="C35" s="125" t="s">
        <v>46</v>
      </c>
      <c r="D35" s="102" t="s">
        <v>124</v>
      </c>
      <c r="E35" s="103">
        <v>7000.8</v>
      </c>
      <c r="F35" s="126">
        <v>15</v>
      </c>
      <c r="G35" s="237">
        <v>1945</v>
      </c>
      <c r="H35" s="103"/>
      <c r="I35" s="139"/>
      <c r="J35" s="141"/>
      <c r="K35" s="141">
        <f t="shared" si="24"/>
        <v>7000.8</v>
      </c>
      <c r="L35" s="141">
        <v>0</v>
      </c>
      <c r="M35" s="103"/>
      <c r="N35" s="103">
        <v>857.15</v>
      </c>
      <c r="O35" s="103">
        <v>0.16</v>
      </c>
      <c r="P35" s="237">
        <f t="shared" si="29"/>
        <v>805.09</v>
      </c>
      <c r="Q35" s="103">
        <f t="shared" si="25"/>
        <v>3607.4</v>
      </c>
      <c r="R35" s="245">
        <f t="shared" si="26"/>
        <v>3393.4</v>
      </c>
      <c r="S35" s="170">
        <v>433.09500000000003</v>
      </c>
      <c r="T35" s="128">
        <f t="shared" si="27"/>
        <v>1435.16</v>
      </c>
      <c r="U35" s="244">
        <f t="shared" si="28"/>
        <v>140.02000000000001</v>
      </c>
      <c r="V35" s="129">
        <f t="shared" si="30"/>
        <v>2008.2750000000001</v>
      </c>
      <c r="X35" s="169"/>
    </row>
    <row r="36" spans="2:24" ht="21" x14ac:dyDescent="0.35">
      <c r="B36" s="102" t="s">
        <v>71</v>
      </c>
      <c r="C36" s="125" t="s">
        <v>50</v>
      </c>
      <c r="D36" s="102" t="s">
        <v>124</v>
      </c>
      <c r="E36" s="103">
        <v>7000.8</v>
      </c>
      <c r="F36" s="126">
        <v>15</v>
      </c>
      <c r="G36" s="237">
        <v>2917</v>
      </c>
      <c r="H36" s="141"/>
      <c r="I36" s="130"/>
      <c r="J36" s="141"/>
      <c r="K36" s="141">
        <f t="shared" si="24"/>
        <v>7000.8</v>
      </c>
      <c r="L36" s="141">
        <v>0</v>
      </c>
      <c r="M36" s="103"/>
      <c r="N36" s="103">
        <v>857.15</v>
      </c>
      <c r="O36" s="103">
        <v>-0.04</v>
      </c>
      <c r="P36" s="237">
        <f t="shared" si="29"/>
        <v>805.09</v>
      </c>
      <c r="Q36" s="103">
        <f t="shared" si="25"/>
        <v>4579.2</v>
      </c>
      <c r="R36" s="245">
        <f t="shared" si="26"/>
        <v>2421.6000000000004</v>
      </c>
      <c r="S36" s="170">
        <v>433.09500000000003</v>
      </c>
      <c r="T36" s="128">
        <f t="shared" si="27"/>
        <v>1435.16</v>
      </c>
      <c r="U36" s="244">
        <f t="shared" si="28"/>
        <v>140.02000000000001</v>
      </c>
      <c r="V36" s="129">
        <f t="shared" si="30"/>
        <v>2008.2750000000001</v>
      </c>
      <c r="X36" s="169"/>
    </row>
    <row r="37" spans="2:24" ht="21" x14ac:dyDescent="0.35">
      <c r="B37" s="102" t="s">
        <v>72</v>
      </c>
      <c r="C37" s="30" t="s">
        <v>195</v>
      </c>
      <c r="D37" s="102" t="s">
        <v>124</v>
      </c>
      <c r="E37" s="103">
        <v>7000.8</v>
      </c>
      <c r="F37" s="126">
        <v>15</v>
      </c>
      <c r="G37" s="103"/>
      <c r="H37" s="103"/>
      <c r="I37" s="139"/>
      <c r="J37" s="141"/>
      <c r="K37" s="141">
        <f t="shared" si="24"/>
        <v>7000.8</v>
      </c>
      <c r="L37" s="141">
        <v>0</v>
      </c>
      <c r="M37" s="103"/>
      <c r="N37" s="103">
        <v>857.15</v>
      </c>
      <c r="O37" s="103">
        <v>0.05</v>
      </c>
      <c r="P37" s="141"/>
      <c r="Q37" s="103">
        <f t="shared" si="25"/>
        <v>857.19999999999993</v>
      </c>
      <c r="R37" s="245">
        <f t="shared" si="26"/>
        <v>6143.6</v>
      </c>
      <c r="S37" s="170">
        <v>433.09500000000003</v>
      </c>
      <c r="T37" s="128"/>
      <c r="U37" s="128"/>
      <c r="V37" s="129">
        <f t="shared" si="30"/>
        <v>433.09500000000003</v>
      </c>
      <c r="X37" s="169"/>
    </row>
    <row r="38" spans="2:24" s="162" customFormat="1" ht="21" x14ac:dyDescent="0.35">
      <c r="B38" s="7" t="s">
        <v>73</v>
      </c>
      <c r="C38" s="30" t="s">
        <v>47</v>
      </c>
      <c r="D38" s="7" t="s">
        <v>125</v>
      </c>
      <c r="E38" s="103">
        <v>7000.8</v>
      </c>
      <c r="F38" s="126">
        <v>15</v>
      </c>
      <c r="G38" s="103"/>
      <c r="H38" s="103"/>
      <c r="I38" s="139"/>
      <c r="J38" s="141"/>
      <c r="K38" s="141">
        <f t="shared" si="24"/>
        <v>7000.8</v>
      </c>
      <c r="L38" s="141">
        <v>0</v>
      </c>
      <c r="M38" s="103"/>
      <c r="N38" s="103">
        <v>857.15</v>
      </c>
      <c r="O38" s="103">
        <v>-0.04</v>
      </c>
      <c r="P38" s="237">
        <f t="shared" si="29"/>
        <v>805.09</v>
      </c>
      <c r="Q38" s="103">
        <f t="shared" si="25"/>
        <v>1662.2</v>
      </c>
      <c r="R38" s="245">
        <f t="shared" si="26"/>
        <v>5338.6</v>
      </c>
      <c r="S38" s="170">
        <v>433.09500000000003</v>
      </c>
      <c r="T38" s="128">
        <f t="shared" si="27"/>
        <v>1435.16</v>
      </c>
      <c r="U38" s="244">
        <f t="shared" si="28"/>
        <v>140.02000000000001</v>
      </c>
      <c r="V38" s="129">
        <f t="shared" si="30"/>
        <v>2008.2750000000001</v>
      </c>
      <c r="X38" s="128"/>
    </row>
    <row r="39" spans="2:24" ht="21" x14ac:dyDescent="0.35">
      <c r="B39" s="102" t="s">
        <v>74</v>
      </c>
      <c r="C39" s="125" t="s">
        <v>53</v>
      </c>
      <c r="D39" s="102" t="s">
        <v>125</v>
      </c>
      <c r="E39" s="103">
        <v>7000.8</v>
      </c>
      <c r="F39" s="126">
        <v>15</v>
      </c>
      <c r="G39" s="141"/>
      <c r="H39" s="103"/>
      <c r="I39" s="139"/>
      <c r="J39" s="103"/>
      <c r="K39" s="103">
        <f t="shared" si="24"/>
        <v>7000.8</v>
      </c>
      <c r="L39" s="103">
        <v>0</v>
      </c>
      <c r="M39" s="103"/>
      <c r="N39" s="103">
        <v>857.15</v>
      </c>
      <c r="O39" s="103">
        <v>-0.04</v>
      </c>
      <c r="P39" s="237">
        <f t="shared" si="29"/>
        <v>805.09</v>
      </c>
      <c r="Q39" s="103">
        <f>SUM(N39:P39)+G39</f>
        <v>1662.2</v>
      </c>
      <c r="R39" s="245">
        <f t="shared" si="26"/>
        <v>5338.6</v>
      </c>
      <c r="S39" s="170">
        <v>433.09500000000003</v>
      </c>
      <c r="T39" s="128">
        <f t="shared" si="27"/>
        <v>1435.16</v>
      </c>
      <c r="U39" s="244">
        <f t="shared" si="28"/>
        <v>140.02000000000001</v>
      </c>
      <c r="V39" s="129">
        <f t="shared" si="30"/>
        <v>2008.2750000000001</v>
      </c>
      <c r="X39" s="169"/>
    </row>
    <row r="40" spans="2:24" ht="21" x14ac:dyDescent="0.35">
      <c r="B40" s="102" t="s">
        <v>75</v>
      </c>
      <c r="C40" s="30" t="s">
        <v>203</v>
      </c>
      <c r="D40" s="102" t="s">
        <v>126</v>
      </c>
      <c r="E40" s="103">
        <v>7000.8</v>
      </c>
      <c r="F40" s="126">
        <v>15</v>
      </c>
      <c r="G40" s="141"/>
      <c r="H40" s="103"/>
      <c r="I40" s="144"/>
      <c r="J40" s="103"/>
      <c r="K40" s="103">
        <f t="shared" si="24"/>
        <v>7000.8</v>
      </c>
      <c r="L40" s="103">
        <v>0</v>
      </c>
      <c r="M40" s="103"/>
      <c r="N40" s="103">
        <v>857.15</v>
      </c>
      <c r="O40" s="103">
        <v>0.05</v>
      </c>
      <c r="P40" s="141"/>
      <c r="Q40" s="103">
        <f>SUM(N40:P40)+G40</f>
        <v>857.19999999999993</v>
      </c>
      <c r="R40" s="245">
        <f t="shared" si="26"/>
        <v>6143.6</v>
      </c>
      <c r="S40" s="170">
        <v>433.09500000000003</v>
      </c>
      <c r="T40" s="128"/>
      <c r="U40" s="128"/>
      <c r="V40" s="129">
        <f t="shared" si="30"/>
        <v>433.09500000000003</v>
      </c>
      <c r="X40" s="169"/>
    </row>
    <row r="41" spans="2:24" ht="21" hidden="1" x14ac:dyDescent="0.35">
      <c r="B41" s="102" t="s">
        <v>76</v>
      </c>
      <c r="C41" s="125"/>
      <c r="D41" s="102" t="s">
        <v>126</v>
      </c>
      <c r="E41" s="103">
        <v>0</v>
      </c>
      <c r="F41" s="126">
        <v>0</v>
      </c>
      <c r="G41" s="127">
        <v>0</v>
      </c>
      <c r="H41" s="103"/>
      <c r="I41" s="144"/>
      <c r="J41" s="103"/>
      <c r="K41" s="103">
        <f t="shared" si="24"/>
        <v>0</v>
      </c>
      <c r="L41" s="103">
        <v>0</v>
      </c>
      <c r="M41" s="103"/>
      <c r="N41" s="103">
        <v>0</v>
      </c>
      <c r="O41" s="103">
        <v>0</v>
      </c>
      <c r="P41" s="156">
        <f t="shared" si="29"/>
        <v>0</v>
      </c>
      <c r="Q41" s="103">
        <v>0</v>
      </c>
      <c r="R41" s="190">
        <f t="shared" si="26"/>
        <v>0</v>
      </c>
      <c r="S41" s="170">
        <v>0</v>
      </c>
      <c r="T41" s="128">
        <f t="shared" si="27"/>
        <v>0</v>
      </c>
      <c r="U41" s="128">
        <f t="shared" si="28"/>
        <v>0</v>
      </c>
      <c r="V41" s="129">
        <f t="shared" si="30"/>
        <v>0</v>
      </c>
      <c r="X41" s="169"/>
    </row>
    <row r="42" spans="2:24" ht="21" x14ac:dyDescent="0.35">
      <c r="B42" s="158" t="s">
        <v>150</v>
      </c>
      <c r="C42" s="30" t="s">
        <v>171</v>
      </c>
      <c r="D42" s="158" t="s">
        <v>109</v>
      </c>
      <c r="E42" s="103">
        <v>7000.8</v>
      </c>
      <c r="F42" s="126">
        <v>15</v>
      </c>
      <c r="G42" s="141"/>
      <c r="H42" s="103"/>
      <c r="I42" s="144"/>
      <c r="J42" s="103"/>
      <c r="K42" s="103">
        <f t="shared" si="24"/>
        <v>7000.8</v>
      </c>
      <c r="L42" s="103">
        <v>0</v>
      </c>
      <c r="M42" s="103"/>
      <c r="N42" s="103">
        <v>857.15</v>
      </c>
      <c r="O42" s="103">
        <v>0.05</v>
      </c>
      <c r="P42" s="141"/>
      <c r="Q42" s="103">
        <f t="shared" ref="Q42:Q45" si="31">SUM(N42:P42)+G42</f>
        <v>857.19999999999993</v>
      </c>
      <c r="R42" s="245">
        <f t="shared" si="26"/>
        <v>6143.6</v>
      </c>
      <c r="S42" s="170">
        <v>433.09500000000003</v>
      </c>
      <c r="T42" s="128"/>
      <c r="U42" s="128"/>
      <c r="V42" s="129">
        <f t="shared" ref="V42:V45" si="32">SUM(S42:U42)</f>
        <v>433.09500000000003</v>
      </c>
      <c r="X42" s="169"/>
    </row>
    <row r="43" spans="2:24" ht="21" x14ac:dyDescent="0.35">
      <c r="B43" s="158" t="s">
        <v>151</v>
      </c>
      <c r="C43" s="30" t="s">
        <v>172</v>
      </c>
      <c r="D43" s="158" t="s">
        <v>109</v>
      </c>
      <c r="E43" s="103">
        <v>7000.8</v>
      </c>
      <c r="F43" s="126">
        <v>15</v>
      </c>
      <c r="G43" s="141"/>
      <c r="H43" s="103"/>
      <c r="I43" s="144"/>
      <c r="J43" s="103"/>
      <c r="K43" s="103">
        <f t="shared" si="24"/>
        <v>7000.8</v>
      </c>
      <c r="L43" s="103">
        <v>0</v>
      </c>
      <c r="M43" s="103"/>
      <c r="N43" s="103">
        <v>857.15</v>
      </c>
      <c r="O43" s="103">
        <v>0.05</v>
      </c>
      <c r="P43" s="141"/>
      <c r="Q43" s="103">
        <f t="shared" si="31"/>
        <v>857.19999999999993</v>
      </c>
      <c r="R43" s="245">
        <f t="shared" si="26"/>
        <v>6143.6</v>
      </c>
      <c r="S43" s="170">
        <v>433.09500000000003</v>
      </c>
      <c r="T43" s="128"/>
      <c r="U43" s="128"/>
      <c r="V43" s="129">
        <f t="shared" si="32"/>
        <v>433.09500000000003</v>
      </c>
      <c r="X43" s="169"/>
    </row>
    <row r="44" spans="2:24" ht="21" x14ac:dyDescent="0.35">
      <c r="B44" s="158" t="s">
        <v>152</v>
      </c>
      <c r="C44" s="30" t="s">
        <v>173</v>
      </c>
      <c r="D44" s="158" t="s">
        <v>109</v>
      </c>
      <c r="E44" s="103">
        <v>7000.8</v>
      </c>
      <c r="F44" s="126">
        <v>15</v>
      </c>
      <c r="G44" s="141"/>
      <c r="H44" s="103"/>
      <c r="I44" s="144"/>
      <c r="J44" s="103"/>
      <c r="K44" s="103">
        <f t="shared" ref="K44" si="33">E44-I44</f>
        <v>7000.8</v>
      </c>
      <c r="L44" s="103">
        <v>0</v>
      </c>
      <c r="M44" s="103"/>
      <c r="N44" s="103">
        <v>857.15</v>
      </c>
      <c r="O44" s="103">
        <v>0.05</v>
      </c>
      <c r="P44" s="141"/>
      <c r="Q44" s="103">
        <f t="shared" ref="Q44" si="34">SUM(N44:P44)+G44</f>
        <v>857.19999999999993</v>
      </c>
      <c r="R44" s="245">
        <f t="shared" ref="R44" si="35">K44-Q44</f>
        <v>6143.6</v>
      </c>
      <c r="S44" s="170">
        <v>433.09500000000003</v>
      </c>
      <c r="T44" s="128"/>
      <c r="U44" s="128"/>
      <c r="V44" s="129">
        <f t="shared" ref="V44" si="36">SUM(S44:U44)</f>
        <v>433.09500000000003</v>
      </c>
      <c r="X44" s="169"/>
    </row>
    <row r="45" spans="2:24" ht="21" x14ac:dyDescent="0.35">
      <c r="B45" s="158" t="s">
        <v>198</v>
      </c>
      <c r="C45" s="30" t="s">
        <v>48</v>
      </c>
      <c r="D45" s="158" t="s">
        <v>109</v>
      </c>
      <c r="E45" s="103">
        <v>7000.8</v>
      </c>
      <c r="F45" s="126">
        <v>15</v>
      </c>
      <c r="G45" s="141"/>
      <c r="H45" s="103"/>
      <c r="I45" s="144"/>
      <c r="J45" s="103"/>
      <c r="K45" s="103">
        <f t="shared" si="24"/>
        <v>7000.8</v>
      </c>
      <c r="L45" s="103">
        <v>0</v>
      </c>
      <c r="M45" s="103"/>
      <c r="N45" s="103">
        <v>857.15</v>
      </c>
      <c r="O45" s="103">
        <v>-0.04</v>
      </c>
      <c r="P45" s="237">
        <f t="shared" ref="P45" si="37">ROUND(E45*0.115,2)</f>
        <v>805.09</v>
      </c>
      <c r="Q45" s="103">
        <f t="shared" si="31"/>
        <v>1662.2</v>
      </c>
      <c r="R45" s="245">
        <f t="shared" si="26"/>
        <v>5338.6</v>
      </c>
      <c r="S45" s="170">
        <v>433.09500000000003</v>
      </c>
      <c r="T45" s="128">
        <f t="shared" ref="T45" si="38">ROUND(+E45*17.5%,2)+ROUND(E45*3%,2)</f>
        <v>1435.16</v>
      </c>
      <c r="U45" s="244">
        <f t="shared" ref="U45" si="39">ROUND(+E45*2%,2)</f>
        <v>140.02000000000001</v>
      </c>
      <c r="V45" s="129">
        <f t="shared" si="32"/>
        <v>2008.2750000000001</v>
      </c>
      <c r="X45" s="169"/>
    </row>
    <row r="46" spans="2:24" ht="18.75" x14ac:dyDescent="0.3">
      <c r="B46" s="138" t="s">
        <v>20</v>
      </c>
      <c r="C46" s="132"/>
      <c r="D46" s="133"/>
      <c r="E46" s="135">
        <f t="shared" ref="E46:Q46" si="40">SUM(E31:E45)</f>
        <v>98454.200000000026</v>
      </c>
      <c r="F46" s="135">
        <f t="shared" si="40"/>
        <v>209</v>
      </c>
      <c r="G46" s="135">
        <f>SUM(G31:G45)</f>
        <v>7585</v>
      </c>
      <c r="H46" s="135">
        <f t="shared" si="40"/>
        <v>0</v>
      </c>
      <c r="I46" s="135">
        <f t="shared" si="40"/>
        <v>466.72</v>
      </c>
      <c r="J46" s="135">
        <f t="shared" si="40"/>
        <v>0</v>
      </c>
      <c r="K46" s="135">
        <f t="shared" si="40"/>
        <v>97987.480000000025</v>
      </c>
      <c r="L46" s="135">
        <f t="shared" si="40"/>
        <v>0</v>
      </c>
      <c r="M46" s="135">
        <f t="shared" si="40"/>
        <v>0</v>
      </c>
      <c r="N46" s="135">
        <f t="shared" si="40"/>
        <v>12094.729999999998</v>
      </c>
      <c r="O46" s="135">
        <f t="shared" si="40"/>
        <v>0.43</v>
      </c>
      <c r="P46" s="135">
        <f>SUM(P31:P45)</f>
        <v>6440.72</v>
      </c>
      <c r="Q46" s="135">
        <f t="shared" si="40"/>
        <v>26120.880000000005</v>
      </c>
      <c r="R46" s="135">
        <f>ROUND(SUM(R31:R45),1)</f>
        <v>71866.600000000006</v>
      </c>
      <c r="S46" s="135">
        <f>SUM(S31:S45)</f>
        <v>6076.9550000000017</v>
      </c>
      <c r="T46" s="135">
        <f>SUM(T31:T45)</f>
        <v>11481.28</v>
      </c>
      <c r="U46" s="135">
        <f>SUM(U31:U45)</f>
        <v>1120.1600000000001</v>
      </c>
      <c r="V46" s="135">
        <f>SUM(V31:V45)</f>
        <v>18678.394999999997</v>
      </c>
      <c r="X46" s="169"/>
    </row>
    <row r="47" spans="2:24" ht="18.75" hidden="1" x14ac:dyDescent="0.3">
      <c r="C47" s="136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37"/>
      <c r="X47" s="169"/>
    </row>
    <row r="48" spans="2:24" ht="18.75" x14ac:dyDescent="0.3">
      <c r="B48" s="138" t="s">
        <v>78</v>
      </c>
      <c r="C48" s="31" t="s">
        <v>34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37"/>
      <c r="X48" s="169"/>
    </row>
    <row r="49" spans="1:24" ht="21" x14ac:dyDescent="0.35">
      <c r="B49" s="102" t="s">
        <v>69</v>
      </c>
      <c r="C49" s="125" t="s">
        <v>196</v>
      </c>
      <c r="D49" s="102" t="s">
        <v>130</v>
      </c>
      <c r="E49" s="103">
        <v>7443.8</v>
      </c>
      <c r="F49" s="126">
        <v>15</v>
      </c>
      <c r="G49" s="137"/>
      <c r="H49" s="103"/>
      <c r="I49" s="144"/>
      <c r="J49" s="141"/>
      <c r="K49" s="141">
        <f t="shared" ref="K49" si="41">E49-I49</f>
        <v>7443.8</v>
      </c>
      <c r="L49" s="141"/>
      <c r="M49" s="103"/>
      <c r="N49" s="103">
        <v>951.78</v>
      </c>
      <c r="O49" s="103">
        <v>0.02</v>
      </c>
      <c r="P49" s="141"/>
      <c r="Q49" s="103">
        <f t="shared" ref="Q49" si="42">SUM(N49:P49)+G49</f>
        <v>951.8</v>
      </c>
      <c r="R49" s="245">
        <f t="shared" ref="R49" si="43">K49-Q49</f>
        <v>6492</v>
      </c>
      <c r="S49" s="170">
        <v>446.71999999999991</v>
      </c>
      <c r="T49" s="128"/>
      <c r="U49" s="128"/>
      <c r="V49" s="129">
        <f t="shared" ref="V49:V54" si="44">SUM(S49:U49)</f>
        <v>446.71999999999991</v>
      </c>
      <c r="X49" s="169"/>
    </row>
    <row r="50" spans="1:24" ht="21" x14ac:dyDescent="0.35">
      <c r="B50" s="102" t="s">
        <v>81</v>
      </c>
      <c r="C50" s="125" t="s">
        <v>168</v>
      </c>
      <c r="D50" s="102" t="s">
        <v>128</v>
      </c>
      <c r="E50" s="103">
        <v>7000.8</v>
      </c>
      <c r="F50" s="126">
        <v>15</v>
      </c>
      <c r="G50" s="141"/>
      <c r="H50" s="103"/>
      <c r="I50" s="144"/>
      <c r="J50" s="103"/>
      <c r="K50" s="103">
        <f>E50-I50</f>
        <v>7000.8</v>
      </c>
      <c r="L50" s="103"/>
      <c r="M50" s="103"/>
      <c r="N50" s="103">
        <v>857.15</v>
      </c>
      <c r="O50" s="103">
        <v>0.05</v>
      </c>
      <c r="P50" s="141"/>
      <c r="Q50" s="103">
        <f>SUM(N50:P50)+G50</f>
        <v>857.19999999999993</v>
      </c>
      <c r="R50" s="245">
        <f>K50-Q50</f>
        <v>6143.6</v>
      </c>
      <c r="S50" s="170">
        <v>433.09500000000003</v>
      </c>
      <c r="T50" s="128"/>
      <c r="U50" s="128"/>
      <c r="V50" s="129">
        <f t="shared" si="44"/>
        <v>433.09500000000003</v>
      </c>
      <c r="X50" s="169"/>
    </row>
    <row r="51" spans="1:24" ht="21" x14ac:dyDescent="0.35">
      <c r="B51" s="102" t="s">
        <v>107</v>
      </c>
      <c r="C51" s="125" t="s">
        <v>108</v>
      </c>
      <c r="D51" s="102" t="s">
        <v>109</v>
      </c>
      <c r="E51" s="103">
        <v>7000.8</v>
      </c>
      <c r="F51" s="126">
        <v>15</v>
      </c>
      <c r="G51" s="103"/>
      <c r="H51" s="103"/>
      <c r="I51" s="144"/>
      <c r="J51" s="103"/>
      <c r="K51" s="103">
        <f>E51-I51</f>
        <v>7000.8</v>
      </c>
      <c r="L51" s="103"/>
      <c r="M51" s="103"/>
      <c r="N51" s="103">
        <v>857.15</v>
      </c>
      <c r="O51" s="103">
        <v>0.16</v>
      </c>
      <c r="P51" s="237">
        <f t="shared" ref="P51" si="45">ROUND(E51*0.115,2)</f>
        <v>805.09</v>
      </c>
      <c r="Q51" s="103">
        <f>SUM(N51:P51)+G51</f>
        <v>1662.4</v>
      </c>
      <c r="R51" s="245">
        <f>K51-Q51</f>
        <v>5338.4</v>
      </c>
      <c r="S51" s="170">
        <v>433.09500000000003</v>
      </c>
      <c r="T51" s="128">
        <f t="shared" ref="T51" si="46">ROUND(+E51*17.5%,2)+ROUND(E51*3%,2)</f>
        <v>1435.16</v>
      </c>
      <c r="U51" s="244">
        <f t="shared" ref="U51" si="47">ROUND(+E51*2%,2)</f>
        <v>140.02000000000001</v>
      </c>
      <c r="V51" s="129">
        <f t="shared" si="44"/>
        <v>2008.2750000000001</v>
      </c>
      <c r="X51" s="169"/>
    </row>
    <row r="52" spans="1:24" ht="31.5" x14ac:dyDescent="0.35">
      <c r="A52" s="102" t="s">
        <v>179</v>
      </c>
      <c r="B52" s="158" t="s">
        <v>156</v>
      </c>
      <c r="C52" s="30" t="s">
        <v>183</v>
      </c>
      <c r="D52" s="198" t="s">
        <v>160</v>
      </c>
      <c r="E52" s="103">
        <v>6791.5</v>
      </c>
      <c r="F52" s="126">
        <v>15</v>
      </c>
      <c r="G52" s="141"/>
      <c r="H52" s="103"/>
      <c r="I52" s="144"/>
      <c r="J52" s="103"/>
      <c r="K52" s="103">
        <f t="shared" ref="K52:K54" si="48">E52-I52</f>
        <v>6791.5</v>
      </c>
      <c r="L52" s="103"/>
      <c r="M52" s="103"/>
      <c r="N52" s="103">
        <v>812.45</v>
      </c>
      <c r="O52" s="103">
        <v>0.05</v>
      </c>
      <c r="P52" s="141"/>
      <c r="Q52" s="103">
        <f t="shared" ref="Q52" si="49">SUM(N52:P52)+G52</f>
        <v>812.5</v>
      </c>
      <c r="R52" s="245">
        <f t="shared" ref="R52:R53" si="50">K52-Q52</f>
        <v>5979</v>
      </c>
      <c r="S52" s="170">
        <v>426.65999999999997</v>
      </c>
      <c r="T52" s="128"/>
      <c r="U52" s="128"/>
      <c r="V52" s="129">
        <f t="shared" ref="V52" si="51">SUM(S52:U52)</f>
        <v>426.65999999999997</v>
      </c>
      <c r="X52" s="169"/>
    </row>
    <row r="53" spans="1:24" ht="31.5" x14ac:dyDescent="0.35">
      <c r="B53" s="158" t="s">
        <v>157</v>
      </c>
      <c r="C53" s="30" t="s">
        <v>197</v>
      </c>
      <c r="D53" s="198" t="s">
        <v>160</v>
      </c>
      <c r="E53" s="103">
        <v>6791.5</v>
      </c>
      <c r="F53" s="126">
        <v>15</v>
      </c>
      <c r="G53" s="141"/>
      <c r="H53" s="103"/>
      <c r="I53" s="144"/>
      <c r="J53" s="103"/>
      <c r="K53" s="103">
        <f t="shared" si="48"/>
        <v>6791.5</v>
      </c>
      <c r="L53" s="103"/>
      <c r="M53" s="103"/>
      <c r="N53" s="103">
        <v>812.45</v>
      </c>
      <c r="O53" s="103">
        <v>0.05</v>
      </c>
      <c r="P53" s="141"/>
      <c r="Q53" s="103">
        <f t="shared" ref="Q53:Q54" si="52">SUM(N53:P53)+G53</f>
        <v>812.5</v>
      </c>
      <c r="R53" s="245">
        <f t="shared" si="50"/>
        <v>5979</v>
      </c>
      <c r="S53" s="170">
        <v>426.65999999999997</v>
      </c>
      <c r="T53" s="128"/>
      <c r="U53" s="128"/>
      <c r="V53" s="129">
        <f t="shared" si="44"/>
        <v>426.65999999999997</v>
      </c>
      <c r="X53" s="169"/>
    </row>
    <row r="54" spans="1:24" ht="31.5" x14ac:dyDescent="0.35">
      <c r="B54" s="158" t="s">
        <v>158</v>
      </c>
      <c r="C54" s="30" t="s">
        <v>169</v>
      </c>
      <c r="D54" s="198" t="s">
        <v>160</v>
      </c>
      <c r="E54" s="103">
        <v>6791.5</v>
      </c>
      <c r="F54" s="126">
        <v>15</v>
      </c>
      <c r="G54" s="103"/>
      <c r="H54" s="103"/>
      <c r="I54" s="103"/>
      <c r="J54" s="103"/>
      <c r="K54" s="103">
        <f t="shared" si="48"/>
        <v>6791.5</v>
      </c>
      <c r="L54" s="103"/>
      <c r="M54" s="103"/>
      <c r="N54" s="103">
        <v>812.45</v>
      </c>
      <c r="O54" s="103">
        <v>0.05</v>
      </c>
      <c r="P54" s="141"/>
      <c r="Q54" s="103">
        <f t="shared" si="52"/>
        <v>812.5</v>
      </c>
      <c r="R54" s="245">
        <f>K54-Q54</f>
        <v>5979</v>
      </c>
      <c r="S54" s="170">
        <v>426.65999999999997</v>
      </c>
      <c r="T54" s="128"/>
      <c r="U54" s="128"/>
      <c r="V54" s="129">
        <f t="shared" si="44"/>
        <v>426.65999999999997</v>
      </c>
      <c r="X54" s="169"/>
    </row>
    <row r="55" spans="1:24" ht="18.75" x14ac:dyDescent="0.3">
      <c r="B55" s="138" t="s">
        <v>20</v>
      </c>
      <c r="C55" s="132"/>
      <c r="D55" s="133"/>
      <c r="E55" s="135">
        <f>SUM(E49:E54)</f>
        <v>41819.9</v>
      </c>
      <c r="F55" s="135"/>
      <c r="G55" s="135">
        <f t="shared" ref="G55:Q55" si="53">SUM(G49:G54)</f>
        <v>0</v>
      </c>
      <c r="H55" s="135">
        <f t="shared" si="53"/>
        <v>0</v>
      </c>
      <c r="I55" s="135">
        <f t="shared" si="53"/>
        <v>0</v>
      </c>
      <c r="J55" s="135">
        <f t="shared" si="53"/>
        <v>0</v>
      </c>
      <c r="K55" s="135">
        <f t="shared" si="53"/>
        <v>41819.9</v>
      </c>
      <c r="L55" s="135">
        <f t="shared" si="53"/>
        <v>0</v>
      </c>
      <c r="M55" s="135">
        <f t="shared" si="53"/>
        <v>0</v>
      </c>
      <c r="N55" s="135">
        <f t="shared" si="53"/>
        <v>5103.4299999999994</v>
      </c>
      <c r="O55" s="135">
        <f t="shared" si="53"/>
        <v>0.38</v>
      </c>
      <c r="P55" s="135">
        <f>SUM(P49:P54)</f>
        <v>805.09</v>
      </c>
      <c r="Q55" s="135">
        <f t="shared" si="53"/>
        <v>5908.9</v>
      </c>
      <c r="R55" s="135">
        <f>ROUND(SUM(R49:R54),1)</f>
        <v>35911</v>
      </c>
      <c r="S55" s="135">
        <f>SUM(S49:S54)</f>
        <v>2592.8899999999994</v>
      </c>
      <c r="T55" s="135">
        <f>SUM(T49:T54)</f>
        <v>1435.16</v>
      </c>
      <c r="U55" s="135">
        <f>SUM(U49:U54)</f>
        <v>140.02000000000001</v>
      </c>
      <c r="V55" s="135">
        <f>SUM(V49:V54)</f>
        <v>4168.07</v>
      </c>
      <c r="X55" s="169"/>
    </row>
    <row r="56" spans="1:24" ht="18.75" hidden="1" x14ac:dyDescent="0.3">
      <c r="B56" s="138"/>
      <c r="C56" s="136"/>
      <c r="E56" s="103"/>
      <c r="F56" s="103"/>
      <c r="G56" s="103"/>
      <c r="H56" s="103"/>
      <c r="I56" s="103"/>
      <c r="J56" s="103"/>
      <c r="K56" s="146"/>
      <c r="L56" s="146"/>
      <c r="M56" s="146"/>
      <c r="N56" s="146"/>
      <c r="O56" s="146"/>
      <c r="P56" s="146"/>
      <c r="Q56" s="146"/>
      <c r="R56" s="147"/>
      <c r="S56" s="148"/>
      <c r="T56" s="148"/>
      <c r="U56" s="148"/>
      <c r="V56" s="148"/>
      <c r="X56" s="169"/>
    </row>
    <row r="57" spans="1:24" ht="18.75" x14ac:dyDescent="0.3">
      <c r="B57" s="138" t="s">
        <v>84</v>
      </c>
      <c r="C57" s="31" t="s">
        <v>85</v>
      </c>
      <c r="E57" s="103"/>
      <c r="F57" s="103"/>
      <c r="G57" s="103"/>
      <c r="H57" s="103"/>
      <c r="I57" s="103"/>
      <c r="J57" s="103"/>
      <c r="K57" s="146"/>
      <c r="L57" s="146"/>
      <c r="M57" s="146"/>
      <c r="N57" s="146"/>
      <c r="O57" s="146"/>
      <c r="P57" s="146"/>
      <c r="Q57" s="146"/>
      <c r="R57" s="147"/>
      <c r="S57" s="148"/>
      <c r="T57" s="148"/>
      <c r="U57" s="148"/>
      <c r="V57" s="148"/>
      <c r="X57" s="169"/>
    </row>
    <row r="58" spans="1:24" ht="21" x14ac:dyDescent="0.35">
      <c r="B58" s="102" t="s">
        <v>86</v>
      </c>
      <c r="C58" s="125" t="s">
        <v>200</v>
      </c>
      <c r="D58" s="102" t="s">
        <v>114</v>
      </c>
      <c r="E58" s="103">
        <v>13000</v>
      </c>
      <c r="F58" s="126">
        <v>15</v>
      </c>
      <c r="G58" s="141"/>
      <c r="H58" s="103"/>
      <c r="I58" s="103"/>
      <c r="J58" s="103"/>
      <c r="K58" s="103">
        <f>E58-I58</f>
        <v>13000</v>
      </c>
      <c r="L58" s="103">
        <v>0</v>
      </c>
      <c r="M58" s="103"/>
      <c r="N58" s="103">
        <v>2161.23</v>
      </c>
      <c r="O58" s="103">
        <v>-0.03</v>
      </c>
      <c r="P58" s="237">
        <f t="shared" ref="P58" si="54">ROUND(E58*0.115,2)</f>
        <v>1495</v>
      </c>
      <c r="Q58" s="103">
        <f>SUM(N58:P58)+G58</f>
        <v>3656.2</v>
      </c>
      <c r="R58" s="245">
        <f>K58-Q58</f>
        <v>9343.7999999999993</v>
      </c>
      <c r="S58" s="29">
        <v>617.625</v>
      </c>
      <c r="T58" s="128">
        <f t="shared" ref="T58" si="55">ROUND(+E58*17.5%,2)+ROUND(E58*3%,2)</f>
        <v>2665</v>
      </c>
      <c r="U58" s="244">
        <f>ROUND(+E58*2%,2)</f>
        <v>260</v>
      </c>
      <c r="V58" s="129">
        <f t="shared" ref="V58" si="56">SUM(S58:U58)</f>
        <v>3542.625</v>
      </c>
      <c r="X58" s="169"/>
    </row>
    <row r="59" spans="1:24" ht="18.75" x14ac:dyDescent="0.3">
      <c r="B59" s="138" t="s">
        <v>20</v>
      </c>
      <c r="E59" s="135">
        <f>E58</f>
        <v>13000</v>
      </c>
      <c r="F59" s="135"/>
      <c r="G59" s="135">
        <f>+G58</f>
        <v>0</v>
      </c>
      <c r="H59" s="135"/>
      <c r="I59" s="135">
        <f>I58</f>
        <v>0</v>
      </c>
      <c r="J59" s="135">
        <f>J58</f>
        <v>0</v>
      </c>
      <c r="K59" s="135">
        <f>K58</f>
        <v>13000</v>
      </c>
      <c r="L59" s="135">
        <f t="shared" ref="L59:V59" si="57">L58</f>
        <v>0</v>
      </c>
      <c r="M59" s="135">
        <f t="shared" si="57"/>
        <v>0</v>
      </c>
      <c r="N59" s="135">
        <f>N58</f>
        <v>2161.23</v>
      </c>
      <c r="O59" s="135">
        <f t="shared" si="57"/>
        <v>-0.03</v>
      </c>
      <c r="P59" s="135">
        <f>P58</f>
        <v>1495</v>
      </c>
      <c r="Q59" s="135">
        <f t="shared" si="57"/>
        <v>3656.2</v>
      </c>
      <c r="R59" s="135">
        <f>ROUND(R58,1)</f>
        <v>9343.7999999999993</v>
      </c>
      <c r="S59" s="135">
        <f>S58</f>
        <v>617.625</v>
      </c>
      <c r="T59" s="135">
        <f t="shared" si="57"/>
        <v>2665</v>
      </c>
      <c r="U59" s="135">
        <f>U58</f>
        <v>260</v>
      </c>
      <c r="V59" s="135">
        <f t="shared" si="57"/>
        <v>3542.625</v>
      </c>
      <c r="X59" s="169"/>
    </row>
    <row r="60" spans="1:24" ht="12" customHeight="1" x14ac:dyDescent="0.3">
      <c r="B60" s="138"/>
      <c r="E60" s="103"/>
      <c r="F60" s="103"/>
      <c r="G60" s="103"/>
      <c r="H60" s="103"/>
      <c r="I60" s="103"/>
      <c r="J60" s="103"/>
      <c r="K60" s="146"/>
      <c r="L60" s="146"/>
      <c r="M60" s="146"/>
      <c r="N60" s="146"/>
      <c r="O60" s="146"/>
      <c r="P60" s="146"/>
      <c r="Q60" s="146"/>
      <c r="R60" s="147"/>
      <c r="S60" s="148"/>
      <c r="T60" s="148"/>
      <c r="U60" s="148"/>
      <c r="V60" s="148"/>
    </row>
    <row r="61" spans="1:24" ht="18.75" hidden="1" x14ac:dyDescent="0.3">
      <c r="R61" s="149"/>
    </row>
    <row r="62" spans="1:24" ht="18.75" x14ac:dyDescent="0.3">
      <c r="C62" s="150" t="s">
        <v>56</v>
      </c>
      <c r="E62" s="151">
        <f>E9+E21+E28+E46+E55+E59</f>
        <v>263974.26500000001</v>
      </c>
      <c r="F62" s="151"/>
      <c r="G62" s="152">
        <f>G9+G21+G28+G46+G55+G59</f>
        <v>15884.02</v>
      </c>
      <c r="H62" s="151"/>
      <c r="I62" s="151">
        <f t="shared" ref="I62:Q62" si="58">I9+I21+I28+I46+I55+I59</f>
        <v>757.26</v>
      </c>
      <c r="J62" s="151">
        <f t="shared" si="58"/>
        <v>0</v>
      </c>
      <c r="K62" s="151">
        <f t="shared" si="58"/>
        <v>263217.005</v>
      </c>
      <c r="L62" s="151">
        <f t="shared" si="58"/>
        <v>0</v>
      </c>
      <c r="M62" s="151">
        <f t="shared" si="58"/>
        <v>0</v>
      </c>
      <c r="N62" s="151">
        <f t="shared" si="58"/>
        <v>33863.31</v>
      </c>
      <c r="O62" s="151">
        <f t="shared" si="58"/>
        <v>0.91999999999999993</v>
      </c>
      <c r="P62" s="152">
        <f>P9+P21+P28+P46+P55+P59</f>
        <v>19415.780000000002</v>
      </c>
      <c r="Q62" s="151">
        <f t="shared" si="58"/>
        <v>69164.03</v>
      </c>
      <c r="R62" s="153">
        <f>ROUND(+R9+R21+R28+R46+R55+R59,1)</f>
        <v>194053</v>
      </c>
      <c r="S62" s="151">
        <f>S9+S21+S28+S46+S55+S59</f>
        <v>16006.855000000001</v>
      </c>
      <c r="T62" s="151">
        <f>T59+T55+T46+T28+T21+T9</f>
        <v>34610.732475000004</v>
      </c>
      <c r="U62" s="152">
        <f>U9+U21+U28+U46+U55+U59</f>
        <v>3376.73</v>
      </c>
      <c r="V62" s="154">
        <f>V9+V21+V28+V46+V55+V59</f>
        <v>53994.317474999996</v>
      </c>
    </row>
    <row r="63" spans="1:24" ht="18.75" x14ac:dyDescent="0.3">
      <c r="S63" s="151"/>
      <c r="T63" s="151"/>
    </row>
    <row r="64" spans="1:24" x14ac:dyDescent="0.25">
      <c r="T64" s="103"/>
      <c r="X64" s="169"/>
    </row>
    <row r="66" spans="3:20" x14ac:dyDescent="0.25">
      <c r="I66" s="169"/>
    </row>
    <row r="71" spans="3:20" ht="16.5" thickBot="1" x14ac:dyDescent="0.3">
      <c r="E71" s="293"/>
      <c r="F71" s="293"/>
      <c r="G71" s="242"/>
      <c r="H71" s="242"/>
      <c r="P71" s="294"/>
      <c r="Q71" s="294"/>
    </row>
    <row r="72" spans="3:20" ht="15" x14ac:dyDescent="0.25">
      <c r="E72" s="295" t="s">
        <v>91</v>
      </c>
      <c r="F72" s="295"/>
      <c r="G72" s="243"/>
      <c r="H72" s="243"/>
      <c r="P72" s="155"/>
      <c r="Q72" s="155"/>
      <c r="R72" s="303" t="s">
        <v>202</v>
      </c>
      <c r="S72" s="296"/>
      <c r="T72" s="242"/>
    </row>
    <row r="76" spans="3:20" x14ac:dyDescent="0.25">
      <c r="C76" s="102" t="s">
        <v>90</v>
      </c>
    </row>
  </sheetData>
  <mergeCells count="5">
    <mergeCell ref="B4:V4"/>
    <mergeCell ref="E71:F71"/>
    <mergeCell ref="P71:Q71"/>
    <mergeCell ref="E72:F72"/>
    <mergeCell ref="R72:S72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28003-BBFC-4FE9-9BD3-490C160853A7}">
  <sheetPr>
    <pageSetUpPr fitToPage="1"/>
  </sheetPr>
  <dimension ref="A3:X76"/>
  <sheetViews>
    <sheetView topLeftCell="K1" zoomScale="85" zoomScaleNormal="85" workbookViewId="0">
      <selection activeCell="E14" sqref="E14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5.85546875" style="102" bestFit="1" customWidth="1"/>
    <col min="8" max="8" width="14.140625" style="102" hidden="1" customWidth="1"/>
    <col min="9" max="9" width="13.28515625" style="102" customWidth="1"/>
    <col min="10" max="10" width="13.28515625" style="102" hidden="1" customWidth="1"/>
    <col min="11" max="11" width="17.42578125" style="102" bestFit="1" customWidth="1"/>
    <col min="12" max="12" width="9.42578125" style="102" hidden="1" customWidth="1"/>
    <col min="13" max="13" width="14.42578125" style="102" hidden="1" customWidth="1"/>
    <col min="14" max="14" width="15.85546875" style="102" bestFit="1" customWidth="1"/>
    <col min="15" max="15" width="11.140625" style="102" bestFit="1" customWidth="1"/>
    <col min="16" max="16" width="14.42578125" style="102" bestFit="1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4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4" ht="16.5" customHeight="1" x14ac:dyDescent="0.25">
      <c r="B4" s="291" t="s">
        <v>204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4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2" t="s">
        <v>206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4" x14ac:dyDescent="0.25">
      <c r="B6" s="121" t="s">
        <v>13</v>
      </c>
      <c r="C6" s="5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4" ht="21" x14ac:dyDescent="0.35">
      <c r="B7" s="102" t="s">
        <v>15</v>
      </c>
      <c r="C7" s="125" t="s">
        <v>16</v>
      </c>
      <c r="D7" s="102" t="s">
        <v>19</v>
      </c>
      <c r="E7" s="103">
        <v>19461.365000000002</v>
      </c>
      <c r="F7" s="126">
        <v>15</v>
      </c>
      <c r="G7" s="141"/>
      <c r="H7" s="103"/>
      <c r="I7" s="103"/>
      <c r="J7" s="103"/>
      <c r="K7" s="103">
        <f>E7-I7</f>
        <v>19461.365000000002</v>
      </c>
      <c r="L7" s="103">
        <v>0</v>
      </c>
      <c r="M7" s="103"/>
      <c r="N7" s="103">
        <v>3721.35</v>
      </c>
      <c r="O7" s="103">
        <v>0.16</v>
      </c>
      <c r="P7" s="237">
        <f>ROUND(E7*0.115,2)</f>
        <v>2238.06</v>
      </c>
      <c r="Q7" s="103">
        <f>SUM(N7:P7)+G7</f>
        <v>5959.57</v>
      </c>
      <c r="R7" s="248">
        <f>K7-Q7</f>
        <v>13501.795000000002</v>
      </c>
      <c r="S7" s="29">
        <v>816.3599999999999</v>
      </c>
      <c r="T7" s="128">
        <f>+E7*17.5%+E7*3%</f>
        <v>3989.5798249999998</v>
      </c>
      <c r="U7" s="244">
        <f>ROUND(+E7*2%,2)</f>
        <v>389.23</v>
      </c>
      <c r="V7" s="129">
        <f>SUM(S7:U7)</f>
        <v>5195.169824999999</v>
      </c>
      <c r="X7" s="169"/>
    </row>
    <row r="8" spans="2:24" ht="21" x14ac:dyDescent="0.35">
      <c r="B8" s="102" t="s">
        <v>17</v>
      </c>
      <c r="C8" s="125" t="s">
        <v>18</v>
      </c>
      <c r="D8" s="102" t="s">
        <v>2</v>
      </c>
      <c r="E8" s="103">
        <v>6247.33</v>
      </c>
      <c r="F8" s="126">
        <v>15</v>
      </c>
      <c r="G8" s="127">
        <v>1000</v>
      </c>
      <c r="H8" s="103"/>
      <c r="I8" s="130"/>
      <c r="J8" s="103"/>
      <c r="K8" s="103">
        <f>E8-I8</f>
        <v>6247.33</v>
      </c>
      <c r="L8" s="103">
        <v>0</v>
      </c>
      <c r="M8" s="103"/>
      <c r="N8" s="103">
        <v>696.21</v>
      </c>
      <c r="O8" s="103">
        <v>0.08</v>
      </c>
      <c r="P8" s="237">
        <f>ROUND(E8*0.115,2)</f>
        <v>718.44</v>
      </c>
      <c r="Q8" s="103">
        <f>SUM(N8:P8)+G8</f>
        <v>2414.73</v>
      </c>
      <c r="R8" s="248">
        <f>K8-Q8</f>
        <v>3832.6</v>
      </c>
      <c r="S8" s="29">
        <v>409.92</v>
      </c>
      <c r="T8" s="128">
        <f>+E8*17.5%+E8*3%</f>
        <v>1280.7026499999997</v>
      </c>
      <c r="U8" s="244">
        <f>ROUND(+E8*2%,2)</f>
        <v>124.95</v>
      </c>
      <c r="V8" s="129">
        <f>SUM(S8:U8)</f>
        <v>1815.5726499999998</v>
      </c>
      <c r="X8" s="169"/>
    </row>
    <row r="9" spans="2:24" ht="18.75" x14ac:dyDescent="0.3">
      <c r="B9" s="131" t="s">
        <v>20</v>
      </c>
      <c r="C9" s="132"/>
      <c r="D9" s="133"/>
      <c r="E9" s="135">
        <f>SUM(E7:E8)</f>
        <v>25708.695</v>
      </c>
      <c r="F9" s="135"/>
      <c r="G9" s="135">
        <f>+G8+G7</f>
        <v>1000</v>
      </c>
      <c r="H9" s="135"/>
      <c r="I9" s="135">
        <f t="shared" ref="I9:V9" si="0">SUM(I7:I8)</f>
        <v>0</v>
      </c>
      <c r="J9" s="135">
        <f t="shared" si="0"/>
        <v>0</v>
      </c>
      <c r="K9" s="135">
        <f>SUM(K7:K8)</f>
        <v>25708.695</v>
      </c>
      <c r="L9" s="135">
        <f t="shared" si="0"/>
        <v>0</v>
      </c>
      <c r="M9" s="135">
        <f>SUM(M7:M8)</f>
        <v>0</v>
      </c>
      <c r="N9" s="135">
        <f>SUM(N7:N8)</f>
        <v>4417.5599999999995</v>
      </c>
      <c r="O9" s="135">
        <f t="shared" si="0"/>
        <v>0.24</v>
      </c>
      <c r="P9" s="135">
        <f>SUM(P7:P8)</f>
        <v>2956.5</v>
      </c>
      <c r="Q9" s="135">
        <f t="shared" si="0"/>
        <v>8374.2999999999993</v>
      </c>
      <c r="R9" s="135">
        <f>ROUND(SUM(R7:R8),1)</f>
        <v>17334.400000000001</v>
      </c>
      <c r="S9" s="135">
        <f>SUM(S7:S8)</f>
        <v>1226.28</v>
      </c>
      <c r="T9" s="135">
        <f t="shared" si="0"/>
        <v>5270.282475</v>
      </c>
      <c r="U9" s="135">
        <f>SUM(U7:U8)</f>
        <v>514.18000000000006</v>
      </c>
      <c r="V9" s="135">
        <f t="shared" si="0"/>
        <v>7010.7424749999991</v>
      </c>
      <c r="X9" s="169"/>
    </row>
    <row r="10" spans="2:24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4" ht="18.75" x14ac:dyDescent="0.3">
      <c r="B11" s="138" t="s">
        <v>21</v>
      </c>
      <c r="C11" s="31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4" ht="21" x14ac:dyDescent="0.35">
      <c r="B12" s="102" t="s">
        <v>23</v>
      </c>
      <c r="C12" s="125" t="s">
        <v>191</v>
      </c>
      <c r="D12" s="102" t="s">
        <v>114</v>
      </c>
      <c r="E12" s="103">
        <v>13000</v>
      </c>
      <c r="F12" s="126">
        <v>15</v>
      </c>
      <c r="G12" s="127">
        <v>2223</v>
      </c>
      <c r="H12" s="103"/>
      <c r="I12" s="103"/>
      <c r="J12" s="103"/>
      <c r="K12" s="103">
        <f t="shared" ref="K12:K18" si="1">E12-I12</f>
        <v>13000</v>
      </c>
      <c r="L12" s="103">
        <v>0</v>
      </c>
      <c r="M12" s="103"/>
      <c r="N12" s="103">
        <v>2161.23</v>
      </c>
      <c r="O12" s="103">
        <v>-0.03</v>
      </c>
      <c r="P12" s="237">
        <f t="shared" ref="P12:P19" si="2">ROUND(E12*0.115,2)</f>
        <v>1495</v>
      </c>
      <c r="Q12" s="103">
        <f t="shared" ref="Q12:Q19" si="3">SUM(N12:P12)+G12</f>
        <v>5879.2</v>
      </c>
      <c r="R12" s="248">
        <f t="shared" ref="R12:R20" si="4">K12-Q12</f>
        <v>7120.8</v>
      </c>
      <c r="S12" s="29">
        <v>617.625</v>
      </c>
      <c r="T12" s="128">
        <f>ROUND(+E12*17.5%,2)+ROUND(E12*3%,2)</f>
        <v>2665</v>
      </c>
      <c r="U12" s="244">
        <f t="shared" ref="U12:U19" si="5">ROUND(+E12*2%,2)</f>
        <v>260</v>
      </c>
      <c r="V12" s="129">
        <f t="shared" ref="V12:V20" si="6">SUM(S12:U12)</f>
        <v>3542.625</v>
      </c>
      <c r="X12" s="169"/>
    </row>
    <row r="13" spans="2:24" ht="21" x14ac:dyDescent="0.35">
      <c r="B13" s="102" t="s">
        <v>24</v>
      </c>
      <c r="C13" s="125" t="s">
        <v>192</v>
      </c>
      <c r="D13" s="102" t="s">
        <v>116</v>
      </c>
      <c r="E13" s="103">
        <v>7000.8</v>
      </c>
      <c r="F13" s="126">
        <v>15</v>
      </c>
      <c r="G13" s="141"/>
      <c r="H13" s="103"/>
      <c r="I13" s="139"/>
      <c r="J13" s="140"/>
      <c r="K13" s="103">
        <f>E13-I13</f>
        <v>7000.8</v>
      </c>
      <c r="L13" s="103">
        <v>0</v>
      </c>
      <c r="M13" s="103"/>
      <c r="N13" s="103">
        <v>857.15</v>
      </c>
      <c r="O13" s="103">
        <v>-0.15</v>
      </c>
      <c r="P13" s="141"/>
      <c r="Q13" s="103">
        <f t="shared" si="3"/>
        <v>857</v>
      </c>
      <c r="R13" s="248">
        <f t="shared" si="4"/>
        <v>6143.8</v>
      </c>
      <c r="S13" s="29">
        <v>433.09500000000003</v>
      </c>
      <c r="T13" s="128"/>
      <c r="U13" s="128"/>
      <c r="V13" s="129">
        <f t="shared" si="6"/>
        <v>433.09500000000003</v>
      </c>
      <c r="X13" s="169"/>
    </row>
    <row r="14" spans="2:24" ht="21" x14ac:dyDescent="0.35">
      <c r="B14" s="102" t="s">
        <v>25</v>
      </c>
      <c r="C14" s="30" t="s">
        <v>174</v>
      </c>
      <c r="D14" s="102" t="s">
        <v>115</v>
      </c>
      <c r="E14" s="103">
        <v>7000.8</v>
      </c>
      <c r="F14" s="126">
        <v>15</v>
      </c>
      <c r="G14" s="127">
        <v>1330.99</v>
      </c>
      <c r="H14" s="141"/>
      <c r="I14" s="139"/>
      <c r="J14" s="140"/>
      <c r="K14" s="103">
        <f>E14-I14</f>
        <v>7000.8</v>
      </c>
      <c r="L14" s="103">
        <v>0</v>
      </c>
      <c r="M14" s="103"/>
      <c r="N14" s="103">
        <v>857.15</v>
      </c>
      <c r="O14" s="103">
        <v>-0.03</v>
      </c>
      <c r="P14" s="237">
        <f>ROUND(E14*0.115,2)</f>
        <v>805.09</v>
      </c>
      <c r="Q14" s="103">
        <f>SUM(N14:P14)+G14</f>
        <v>2993.2</v>
      </c>
      <c r="R14" s="248">
        <f>K14-Q14</f>
        <v>4007.6000000000004</v>
      </c>
      <c r="S14" s="29">
        <v>433.09500000000003</v>
      </c>
      <c r="T14" s="128">
        <f t="shared" ref="T14:T19" si="7">ROUND(+E14*17.5%,2)+ROUND(E14*3%,2)</f>
        <v>1435.16</v>
      </c>
      <c r="U14" s="244">
        <f t="shared" si="5"/>
        <v>140.02000000000001</v>
      </c>
      <c r="V14" s="129">
        <f t="shared" si="6"/>
        <v>2008.2750000000001</v>
      </c>
      <c r="X14" s="169"/>
    </row>
    <row r="15" spans="2:24" ht="21" x14ac:dyDescent="0.35">
      <c r="B15" s="102" t="s">
        <v>26</v>
      </c>
      <c r="C15" s="30" t="s">
        <v>193</v>
      </c>
      <c r="D15" s="102" t="s">
        <v>37</v>
      </c>
      <c r="E15" s="103">
        <v>7443.8</v>
      </c>
      <c r="F15" s="126">
        <v>15</v>
      </c>
      <c r="G15" s="103"/>
      <c r="H15" s="103"/>
      <c r="I15" s="139"/>
      <c r="J15" s="103"/>
      <c r="K15" s="103">
        <f t="shared" si="1"/>
        <v>7443.8</v>
      </c>
      <c r="L15" s="103">
        <v>0</v>
      </c>
      <c r="M15" s="103"/>
      <c r="N15" s="103">
        <v>951.78</v>
      </c>
      <c r="O15" s="103">
        <v>0.02</v>
      </c>
      <c r="P15" s="141"/>
      <c r="Q15" s="103">
        <f t="shared" si="3"/>
        <v>951.8</v>
      </c>
      <c r="R15" s="248">
        <f t="shared" si="4"/>
        <v>6492</v>
      </c>
      <c r="S15" s="29">
        <v>446.71999999999991</v>
      </c>
      <c r="T15" s="128"/>
      <c r="U15" s="128"/>
      <c r="V15" s="129">
        <f t="shared" si="6"/>
        <v>446.71999999999991</v>
      </c>
      <c r="X15" s="169"/>
    </row>
    <row r="16" spans="2:24" ht="21" x14ac:dyDescent="0.35">
      <c r="B16" s="102" t="s">
        <v>27</v>
      </c>
      <c r="C16" s="125" t="s">
        <v>40</v>
      </c>
      <c r="D16" s="102" t="s">
        <v>117</v>
      </c>
      <c r="E16" s="103">
        <v>4918.3649999999998</v>
      </c>
      <c r="F16" s="126">
        <v>15</v>
      </c>
      <c r="G16" s="127">
        <v>2050</v>
      </c>
      <c r="H16" s="103"/>
      <c r="I16" s="139"/>
      <c r="J16" s="103"/>
      <c r="K16" s="103">
        <f>E16-I16</f>
        <v>4918.3649999999998</v>
      </c>
      <c r="L16" s="103">
        <v>0</v>
      </c>
      <c r="M16" s="103"/>
      <c r="N16" s="103">
        <v>447.61</v>
      </c>
      <c r="O16" s="103">
        <v>-0.05</v>
      </c>
      <c r="P16" s="237">
        <f>ROUND(E16*0.115,2)</f>
        <v>565.61</v>
      </c>
      <c r="Q16" s="103">
        <f>SUM(N16:P16)+G16</f>
        <v>3063.17</v>
      </c>
      <c r="R16" s="248">
        <f t="shared" si="4"/>
        <v>1855.1949999999997</v>
      </c>
      <c r="S16" s="29">
        <v>373.15</v>
      </c>
      <c r="T16" s="128">
        <f t="shared" si="7"/>
        <v>1008.26</v>
      </c>
      <c r="U16" s="244">
        <f t="shared" si="5"/>
        <v>98.37</v>
      </c>
      <c r="V16" s="129">
        <f t="shared" si="6"/>
        <v>1479.7799999999997</v>
      </c>
      <c r="X16" s="169"/>
    </row>
    <row r="17" spans="2:24" ht="21" x14ac:dyDescent="0.35">
      <c r="B17" s="102" t="s">
        <v>60</v>
      </c>
      <c r="C17" s="125" t="s">
        <v>41</v>
      </c>
      <c r="D17" s="102" t="s">
        <v>118</v>
      </c>
      <c r="E17" s="103">
        <v>4918.3649999999998</v>
      </c>
      <c r="F17" s="126">
        <v>15</v>
      </c>
      <c r="G17" s="127">
        <v>1367</v>
      </c>
      <c r="H17" s="103"/>
      <c r="I17" s="139"/>
      <c r="J17" s="103"/>
      <c r="K17" s="103">
        <f>E17-I17</f>
        <v>4918.3649999999998</v>
      </c>
      <c r="L17" s="103">
        <v>0</v>
      </c>
      <c r="M17" s="103"/>
      <c r="N17" s="103">
        <v>447.61</v>
      </c>
      <c r="O17" s="103">
        <v>0.15</v>
      </c>
      <c r="P17" s="237">
        <f t="shared" si="2"/>
        <v>565.61</v>
      </c>
      <c r="Q17" s="103">
        <f>SUM(N17:P17)+G17</f>
        <v>2380.37</v>
      </c>
      <c r="R17" s="248">
        <f>K17-Q17</f>
        <v>2537.9949999999999</v>
      </c>
      <c r="S17" s="29">
        <v>373.15</v>
      </c>
      <c r="T17" s="128">
        <f t="shared" si="7"/>
        <v>1008.26</v>
      </c>
      <c r="U17" s="244">
        <f t="shared" si="5"/>
        <v>98.37</v>
      </c>
      <c r="V17" s="129">
        <f t="shared" si="6"/>
        <v>1479.7799999999997</v>
      </c>
      <c r="X17" s="169"/>
    </row>
    <row r="18" spans="2:24" ht="21" x14ac:dyDescent="0.35">
      <c r="B18" s="102" t="s">
        <v>61</v>
      </c>
      <c r="C18" s="125" t="s">
        <v>43</v>
      </c>
      <c r="D18" s="102" t="s">
        <v>3</v>
      </c>
      <c r="E18" s="103">
        <v>4358.17</v>
      </c>
      <c r="F18" s="126">
        <v>14</v>
      </c>
      <c r="G18" s="127">
        <v>1211</v>
      </c>
      <c r="H18" s="103"/>
      <c r="I18" s="32">
        <v>290.54000000000002</v>
      </c>
      <c r="J18" s="103"/>
      <c r="K18" s="103">
        <f t="shared" si="1"/>
        <v>4067.63</v>
      </c>
      <c r="L18" s="103"/>
      <c r="M18" s="103"/>
      <c r="N18" s="103">
        <v>357.97</v>
      </c>
      <c r="O18" s="103">
        <v>7.0000000000000007E-2</v>
      </c>
      <c r="P18" s="237">
        <f t="shared" si="2"/>
        <v>501.19</v>
      </c>
      <c r="Q18" s="103">
        <f t="shared" si="3"/>
        <v>2070.23</v>
      </c>
      <c r="R18" s="248">
        <f t="shared" si="4"/>
        <v>1997.4</v>
      </c>
      <c r="S18" s="29">
        <v>337.59</v>
      </c>
      <c r="T18" s="128">
        <f t="shared" si="7"/>
        <v>893.43</v>
      </c>
      <c r="U18" s="244">
        <f t="shared" si="5"/>
        <v>87.16</v>
      </c>
      <c r="V18" s="129">
        <f t="shared" si="6"/>
        <v>1318.18</v>
      </c>
      <c r="X18" s="169"/>
    </row>
    <row r="19" spans="2:24" ht="21" x14ac:dyDescent="0.35">
      <c r="B19" s="102" t="s">
        <v>62</v>
      </c>
      <c r="C19" s="125" t="s">
        <v>42</v>
      </c>
      <c r="D19" s="102" t="s">
        <v>119</v>
      </c>
      <c r="E19" s="103">
        <v>4918.3649999999998</v>
      </c>
      <c r="F19" s="126">
        <v>15</v>
      </c>
      <c r="G19" s="127">
        <v>1340.03</v>
      </c>
      <c r="H19" s="130"/>
      <c r="I19" s="139">
        <v>7.03</v>
      </c>
      <c r="J19" s="103"/>
      <c r="K19" s="103">
        <f>E19-I19+H19</f>
        <v>4911.335</v>
      </c>
      <c r="L19" s="103"/>
      <c r="M19" s="103"/>
      <c r="N19" s="103">
        <v>447.61</v>
      </c>
      <c r="O19" s="103">
        <v>0.09</v>
      </c>
      <c r="P19" s="237">
        <f t="shared" si="2"/>
        <v>565.61</v>
      </c>
      <c r="Q19" s="103">
        <f t="shared" si="3"/>
        <v>2353.34</v>
      </c>
      <c r="R19" s="248">
        <f t="shared" si="4"/>
        <v>2557.9949999999999</v>
      </c>
      <c r="S19" s="29">
        <v>373.15</v>
      </c>
      <c r="T19" s="128">
        <f t="shared" si="7"/>
        <v>1008.26</v>
      </c>
      <c r="U19" s="244">
        <f t="shared" si="5"/>
        <v>98.37</v>
      </c>
      <c r="V19" s="129">
        <f t="shared" si="6"/>
        <v>1479.7799999999997</v>
      </c>
      <c r="X19" s="169"/>
    </row>
    <row r="20" spans="2:24" ht="21" x14ac:dyDescent="0.35">
      <c r="B20" s="158" t="s">
        <v>187</v>
      </c>
      <c r="C20" s="30" t="s">
        <v>199</v>
      </c>
      <c r="D20" s="158" t="s">
        <v>188</v>
      </c>
      <c r="E20" s="103">
        <v>4918.3649999999998</v>
      </c>
      <c r="F20" s="126">
        <v>15</v>
      </c>
      <c r="G20" s="141"/>
      <c r="H20" s="130"/>
      <c r="I20" s="139"/>
      <c r="J20" s="103"/>
      <c r="K20" s="103">
        <f>E20-I20+H20</f>
        <v>4918.3649999999998</v>
      </c>
      <c r="L20" s="103"/>
      <c r="M20" s="103"/>
      <c r="N20" s="103">
        <v>447.61</v>
      </c>
      <c r="O20" s="103">
        <v>-0.04</v>
      </c>
      <c r="P20" s="141"/>
      <c r="Q20" s="103">
        <f t="shared" ref="Q20" si="8">SUM(N20:P20)+G20</f>
        <v>447.57</v>
      </c>
      <c r="R20" s="248">
        <f t="shared" si="4"/>
        <v>4470.7950000000001</v>
      </c>
      <c r="S20" s="29">
        <v>373.15</v>
      </c>
      <c r="T20" s="128"/>
      <c r="U20" s="128"/>
      <c r="V20" s="129">
        <f t="shared" si="6"/>
        <v>373.15</v>
      </c>
      <c r="X20" s="169"/>
    </row>
    <row r="21" spans="2:24" ht="18.75" x14ac:dyDescent="0.3">
      <c r="B21" s="138" t="s">
        <v>20</v>
      </c>
      <c r="C21" s="194"/>
      <c r="D21" s="133"/>
      <c r="E21" s="135">
        <f>SUM(E12:E20)</f>
        <v>58477.029999999992</v>
      </c>
      <c r="F21" s="135"/>
      <c r="G21" s="135">
        <f>+G20+G18+G17+G16+G12+G13+G14+G19</f>
        <v>9522.02</v>
      </c>
      <c r="H21" s="135"/>
      <c r="I21" s="135">
        <f t="shared" ref="I21:V21" si="9">SUM(I12:I20)</f>
        <v>297.57</v>
      </c>
      <c r="J21" s="135">
        <f t="shared" si="9"/>
        <v>0</v>
      </c>
      <c r="K21" s="135">
        <f>SUM(K12:K20)</f>
        <v>58179.459999999992</v>
      </c>
      <c r="L21" s="135">
        <f t="shared" ref="L21" si="10">SUM(L12:L20)</f>
        <v>0</v>
      </c>
      <c r="M21" s="135">
        <f>SUM(M12:M20)</f>
        <v>0</v>
      </c>
      <c r="N21" s="135">
        <f>SUM(N12:N20)</f>
        <v>6975.7199999999993</v>
      </c>
      <c r="O21" s="135">
        <f t="shared" si="9"/>
        <v>3.0000000000000006E-2</v>
      </c>
      <c r="P21" s="135">
        <f>SUM(P12:P20)</f>
        <v>4498.1100000000006</v>
      </c>
      <c r="Q21" s="135">
        <f t="shared" si="9"/>
        <v>20995.879999999997</v>
      </c>
      <c r="R21" s="135">
        <f>ROUND(SUM(R12:R20),1)</f>
        <v>37183.599999999999</v>
      </c>
      <c r="S21" s="135">
        <f>SUM(S12:S20)</f>
        <v>3760.7250000000004</v>
      </c>
      <c r="T21" s="135">
        <f t="shared" si="9"/>
        <v>8018.3700000000008</v>
      </c>
      <c r="U21" s="135">
        <f>SUM(U12:U20)</f>
        <v>782.29</v>
      </c>
      <c r="V21" s="135">
        <f t="shared" si="9"/>
        <v>12561.385</v>
      </c>
      <c r="X21" s="169"/>
    </row>
    <row r="22" spans="2:24" ht="18.75" hidden="1" x14ac:dyDescent="0.3">
      <c r="B22" s="138"/>
      <c r="C22" s="136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37"/>
      <c r="X22" s="169"/>
    </row>
    <row r="23" spans="2:24" ht="18.75" x14ac:dyDescent="0.3">
      <c r="B23" s="138" t="s">
        <v>31</v>
      </c>
      <c r="C23" s="31" t="s">
        <v>83</v>
      </c>
      <c r="E23" s="103"/>
      <c r="F23" s="103"/>
      <c r="G23" s="103"/>
      <c r="H23" s="103"/>
      <c r="I23" s="103"/>
      <c r="J23" s="103"/>
      <c r="K23" s="142"/>
      <c r="L23" s="142"/>
      <c r="M23" s="103"/>
      <c r="N23" s="103"/>
      <c r="O23" s="103"/>
      <c r="P23" s="103"/>
      <c r="Q23" s="103"/>
      <c r="R23" s="137"/>
      <c r="X23" s="169"/>
    </row>
    <row r="24" spans="2:24" ht="21" x14ac:dyDescent="0.35">
      <c r="B24" s="102" t="s">
        <v>63</v>
      </c>
      <c r="C24" s="125" t="s">
        <v>110</v>
      </c>
      <c r="D24" s="158" t="s">
        <v>132</v>
      </c>
      <c r="E24" s="103">
        <v>7000.8</v>
      </c>
      <c r="F24" s="126">
        <v>15</v>
      </c>
      <c r="G24" s="103"/>
      <c r="H24" s="103"/>
      <c r="I24" s="103"/>
      <c r="J24" s="103"/>
      <c r="K24" s="103">
        <f>E24-I24</f>
        <v>7000.8</v>
      </c>
      <c r="L24" s="103">
        <v>0</v>
      </c>
      <c r="M24" s="103"/>
      <c r="N24" s="103">
        <v>857.15</v>
      </c>
      <c r="O24" s="103">
        <v>-0.04</v>
      </c>
      <c r="P24" s="237">
        <f>ROUND(E24*0.115,2)</f>
        <v>805.09</v>
      </c>
      <c r="Q24" s="103">
        <f t="shared" ref="Q24:Q25" si="11">SUM(N24:P24)+G24</f>
        <v>1662.2</v>
      </c>
      <c r="R24" s="248">
        <f>K24-Q24</f>
        <v>5338.6</v>
      </c>
      <c r="S24" s="170">
        <v>433.09500000000003</v>
      </c>
      <c r="T24" s="128">
        <f t="shared" ref="T24:T27" si="12">ROUND(+E24*17.5%,2)+ROUND(E24*3%,2)</f>
        <v>1435.16</v>
      </c>
      <c r="U24" s="244">
        <f t="shared" ref="U24:U27" si="13">ROUND(+E24*2%,2)</f>
        <v>140.02000000000001</v>
      </c>
      <c r="V24" s="129">
        <f t="shared" ref="V24:V25" si="14">SUM(S24:U24)</f>
        <v>2008.2750000000001</v>
      </c>
      <c r="X24" s="169"/>
    </row>
    <row r="25" spans="2:24" ht="21" x14ac:dyDescent="0.35">
      <c r="B25" s="102" t="s">
        <v>112</v>
      </c>
      <c r="C25" s="125" t="s">
        <v>113</v>
      </c>
      <c r="D25" s="158" t="s">
        <v>133</v>
      </c>
      <c r="E25" s="103">
        <v>7000.8</v>
      </c>
      <c r="F25" s="126">
        <v>15</v>
      </c>
      <c r="G25" s="103"/>
      <c r="H25" s="103"/>
      <c r="I25" s="139">
        <v>2.2200000000000002</v>
      </c>
      <c r="J25" s="103"/>
      <c r="K25" s="103">
        <f>E25-I25</f>
        <v>6998.58</v>
      </c>
      <c r="L25" s="103">
        <v>0</v>
      </c>
      <c r="M25" s="103"/>
      <c r="N25" s="103">
        <v>857.15</v>
      </c>
      <c r="O25" s="103">
        <v>-0.06</v>
      </c>
      <c r="P25" s="237">
        <f>ROUND(E25*0.115,2)</f>
        <v>805.09</v>
      </c>
      <c r="Q25" s="103">
        <f t="shared" si="11"/>
        <v>1662.18</v>
      </c>
      <c r="R25" s="248">
        <f>K25-Q25</f>
        <v>5336.4</v>
      </c>
      <c r="S25" s="170">
        <v>433.09500000000003</v>
      </c>
      <c r="T25" s="128">
        <f t="shared" si="12"/>
        <v>1435.16</v>
      </c>
      <c r="U25" s="244">
        <f t="shared" si="13"/>
        <v>140.02000000000001</v>
      </c>
      <c r="V25" s="129">
        <f t="shared" si="14"/>
        <v>2008.2750000000001</v>
      </c>
      <c r="X25" s="169"/>
    </row>
    <row r="26" spans="2:24" ht="21" x14ac:dyDescent="0.35">
      <c r="B26" s="102" t="s">
        <v>64</v>
      </c>
      <c r="C26" s="125" t="s">
        <v>45</v>
      </c>
      <c r="D26" s="102" t="s">
        <v>122</v>
      </c>
      <c r="E26" s="103">
        <v>7000.8</v>
      </c>
      <c r="F26" s="126">
        <v>15</v>
      </c>
      <c r="G26" s="141"/>
      <c r="H26" s="103"/>
      <c r="I26" s="143"/>
      <c r="J26" s="103"/>
      <c r="K26" s="103">
        <f>E26-I26</f>
        <v>7000.8</v>
      </c>
      <c r="L26" s="103">
        <v>0</v>
      </c>
      <c r="M26" s="103"/>
      <c r="N26" s="103">
        <v>857.15</v>
      </c>
      <c r="O26" s="103">
        <v>-0.04</v>
      </c>
      <c r="P26" s="237">
        <f>ROUND(E26*0.115,2)</f>
        <v>805.09</v>
      </c>
      <c r="Q26" s="103">
        <f>SUM(N26:P26)+G26</f>
        <v>1662.2</v>
      </c>
      <c r="R26" s="248">
        <f>K26-Q26</f>
        <v>5338.6</v>
      </c>
      <c r="S26" s="170">
        <v>433.09500000000003</v>
      </c>
      <c r="T26" s="128">
        <f t="shared" si="12"/>
        <v>1435.16</v>
      </c>
      <c r="U26" s="244">
        <f t="shared" si="13"/>
        <v>140.02000000000001</v>
      </c>
      <c r="V26" s="129">
        <f>SUM(S26:U26)</f>
        <v>2008.2750000000001</v>
      </c>
      <c r="X26" s="169"/>
    </row>
    <row r="27" spans="2:24" ht="21" x14ac:dyDescent="0.35">
      <c r="B27" s="102" t="s">
        <v>65</v>
      </c>
      <c r="C27" s="125" t="s">
        <v>59</v>
      </c>
      <c r="D27" s="158" t="s">
        <v>134</v>
      </c>
      <c r="E27" s="103">
        <v>7000.8</v>
      </c>
      <c r="F27" s="126">
        <v>15</v>
      </c>
      <c r="G27" s="141"/>
      <c r="H27" s="130"/>
      <c r="I27" s="130">
        <v>8.8800000000000008</v>
      </c>
      <c r="J27" s="103"/>
      <c r="K27" s="103">
        <f>E27-I27+H27</f>
        <v>6991.92</v>
      </c>
      <c r="L27" s="103">
        <v>0</v>
      </c>
      <c r="M27" s="103"/>
      <c r="N27" s="103">
        <v>857.15</v>
      </c>
      <c r="O27" s="103">
        <v>0.08</v>
      </c>
      <c r="P27" s="237">
        <f>ROUND(E27*0.115,2)</f>
        <v>805.09</v>
      </c>
      <c r="Q27" s="103">
        <f>SUM(N27:P27)+G27</f>
        <v>1662.3200000000002</v>
      </c>
      <c r="R27" s="248">
        <f>K27-Q27</f>
        <v>5329.6</v>
      </c>
      <c r="S27" s="170">
        <v>433.09500000000003</v>
      </c>
      <c r="T27" s="128">
        <f t="shared" si="12"/>
        <v>1435.16</v>
      </c>
      <c r="U27" s="244">
        <f t="shared" si="13"/>
        <v>140.02000000000001</v>
      </c>
      <c r="V27" s="129">
        <f>SUM(S27:U27)</f>
        <v>2008.2750000000001</v>
      </c>
      <c r="X27" s="169"/>
    </row>
    <row r="28" spans="2:24" ht="18.75" x14ac:dyDescent="0.3">
      <c r="B28" s="138" t="s">
        <v>20</v>
      </c>
      <c r="C28" s="132"/>
      <c r="D28" s="133"/>
      <c r="E28" s="135">
        <f>SUM(E24:E27)</f>
        <v>28003.200000000001</v>
      </c>
      <c r="F28" s="135"/>
      <c r="G28" s="135">
        <f>+G27+G26+G24+G25</f>
        <v>0</v>
      </c>
      <c r="H28" s="135"/>
      <c r="I28" s="135">
        <f t="shared" ref="I28:J28" si="15">SUM(I24:I27)</f>
        <v>11.100000000000001</v>
      </c>
      <c r="J28" s="135">
        <f t="shared" si="15"/>
        <v>0</v>
      </c>
      <c r="K28" s="135">
        <f>SUM(K24:K27)</f>
        <v>27992.1</v>
      </c>
      <c r="L28" s="135">
        <f t="shared" ref="L28" si="16">SUM(L24:L27)</f>
        <v>0</v>
      </c>
      <c r="M28" s="135">
        <f>SUM(M24:M27)</f>
        <v>0</v>
      </c>
      <c r="N28" s="135">
        <f>SUM(N24:N27)</f>
        <v>3428.6</v>
      </c>
      <c r="O28" s="135">
        <f t="shared" ref="O28:Q28" si="17">SUM(O24:O27)</f>
        <v>-6.0000000000000012E-2</v>
      </c>
      <c r="P28" s="135">
        <f>SUM(P24:P27)</f>
        <v>3220.36</v>
      </c>
      <c r="Q28" s="135">
        <f t="shared" si="17"/>
        <v>6648.9</v>
      </c>
      <c r="R28" s="135">
        <f>ROUND(SUM(R24:R27),1)</f>
        <v>21343.200000000001</v>
      </c>
      <c r="S28" s="135">
        <f>SUM(S24:S27)</f>
        <v>1732.38</v>
      </c>
      <c r="T28" s="135">
        <f>SUM(T24:T27)</f>
        <v>5740.64</v>
      </c>
      <c r="U28" s="135">
        <f>SUM(U24:U27)</f>
        <v>560.08000000000004</v>
      </c>
      <c r="V28" s="135">
        <f>SUM(V24:V27)</f>
        <v>8033.1</v>
      </c>
      <c r="X28" s="169"/>
    </row>
    <row r="29" spans="2:24" ht="18.75" hidden="1" x14ac:dyDescent="0.3">
      <c r="C29" s="136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37"/>
      <c r="X29" s="169"/>
    </row>
    <row r="30" spans="2:24" ht="18.75" x14ac:dyDescent="0.3">
      <c r="B30" s="138" t="s">
        <v>33</v>
      </c>
      <c r="C30" s="31" t="s">
        <v>32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37"/>
      <c r="X30" s="169"/>
    </row>
    <row r="31" spans="2:24" ht="21" x14ac:dyDescent="0.35">
      <c r="B31" s="102" t="s">
        <v>66</v>
      </c>
      <c r="C31" s="125" t="s">
        <v>49</v>
      </c>
      <c r="D31" s="158" t="s">
        <v>128</v>
      </c>
      <c r="E31" s="103">
        <v>7000.8</v>
      </c>
      <c r="F31" s="126">
        <v>15</v>
      </c>
      <c r="G31" s="103"/>
      <c r="H31" s="103"/>
      <c r="I31" s="144"/>
      <c r="J31" s="103"/>
      <c r="K31" s="103">
        <f t="shared" ref="K31:K45" si="18">E31-I31</f>
        <v>7000.8</v>
      </c>
      <c r="L31" s="103">
        <v>0</v>
      </c>
      <c r="M31" s="103"/>
      <c r="N31" s="103">
        <v>857.15</v>
      </c>
      <c r="O31" s="103">
        <v>0.16</v>
      </c>
      <c r="P31" s="237">
        <f>ROUND(E31*0.115,2)</f>
        <v>805.09</v>
      </c>
      <c r="Q31" s="103">
        <f t="shared" ref="Q31:Q38" si="19">SUM(N31:P31)+G31</f>
        <v>1662.4</v>
      </c>
      <c r="R31" s="248">
        <f t="shared" ref="R31:R45" si="20">K31-Q31</f>
        <v>5338.4</v>
      </c>
      <c r="S31" s="170">
        <v>433.09500000000003</v>
      </c>
      <c r="T31" s="128">
        <f t="shared" ref="T31:T39" si="21">ROUND(+E31*17.5%,2)+ROUND(E31*3%,2)</f>
        <v>1435.16</v>
      </c>
      <c r="U31" s="244">
        <f t="shared" ref="U31:U39" si="22">ROUND(+E31*2%,2)</f>
        <v>140.02000000000001</v>
      </c>
      <c r="V31" s="129">
        <f>SUM(S31:U31)</f>
        <v>2008.2750000000001</v>
      </c>
      <c r="X31" s="169"/>
    </row>
    <row r="32" spans="2:24" ht="21" x14ac:dyDescent="0.35">
      <c r="B32" s="102" t="s">
        <v>67</v>
      </c>
      <c r="C32" s="125" t="s">
        <v>51</v>
      </c>
      <c r="D32" s="158" t="s">
        <v>135</v>
      </c>
      <c r="E32" s="103">
        <v>7000.8</v>
      </c>
      <c r="F32" s="126">
        <v>15</v>
      </c>
      <c r="G32" s="127">
        <v>1556</v>
      </c>
      <c r="H32" s="103"/>
      <c r="I32" s="130"/>
      <c r="J32" s="141"/>
      <c r="K32" s="141">
        <f t="shared" si="18"/>
        <v>7000.8</v>
      </c>
      <c r="L32" s="141">
        <v>0</v>
      </c>
      <c r="M32" s="103"/>
      <c r="N32" s="103">
        <v>857.15</v>
      </c>
      <c r="O32" s="103">
        <v>-0.04</v>
      </c>
      <c r="P32" s="237">
        <f t="shared" ref="P32:P39" si="23">ROUND(E32*0.115,2)</f>
        <v>805.09</v>
      </c>
      <c r="Q32" s="103">
        <f>SUM(N32:P32)+G32</f>
        <v>3218.2</v>
      </c>
      <c r="R32" s="248">
        <f t="shared" si="20"/>
        <v>3782.6000000000004</v>
      </c>
      <c r="S32" s="170">
        <v>433.09500000000003</v>
      </c>
      <c r="T32" s="128">
        <f t="shared" si="21"/>
        <v>1435.16</v>
      </c>
      <c r="U32" s="244">
        <f t="shared" si="22"/>
        <v>140.02000000000001</v>
      </c>
      <c r="V32" s="129">
        <f>SUM(S32:U32)</f>
        <v>2008.2750000000001</v>
      </c>
      <c r="X32" s="169"/>
    </row>
    <row r="33" spans="2:24" ht="21" x14ac:dyDescent="0.35">
      <c r="B33" s="102" t="s">
        <v>68</v>
      </c>
      <c r="C33" s="30" t="s">
        <v>194</v>
      </c>
      <c r="D33" s="102" t="s">
        <v>123</v>
      </c>
      <c r="E33" s="103">
        <v>7443.8</v>
      </c>
      <c r="F33" s="126">
        <v>15</v>
      </c>
      <c r="G33" s="103"/>
      <c r="H33" s="103"/>
      <c r="I33" s="130"/>
      <c r="J33" s="103"/>
      <c r="K33" s="103">
        <f t="shared" si="18"/>
        <v>7443.8</v>
      </c>
      <c r="L33" s="103">
        <v>0</v>
      </c>
      <c r="M33" s="103"/>
      <c r="N33" s="103">
        <v>951.78</v>
      </c>
      <c r="O33" s="103">
        <v>0.02</v>
      </c>
      <c r="P33" s="141"/>
      <c r="Q33" s="103">
        <f t="shared" si="19"/>
        <v>951.8</v>
      </c>
      <c r="R33" s="248">
        <f t="shared" si="20"/>
        <v>6492</v>
      </c>
      <c r="S33" s="170">
        <v>446.71999999999991</v>
      </c>
      <c r="T33" s="128"/>
      <c r="U33" s="128"/>
      <c r="V33" s="129">
        <f t="shared" ref="V33:V40" si="24">SUM(S33:U33)</f>
        <v>446.71999999999991</v>
      </c>
      <c r="X33" s="169"/>
    </row>
    <row r="34" spans="2:24" ht="21" x14ac:dyDescent="0.35">
      <c r="B34" s="102" t="s">
        <v>77</v>
      </c>
      <c r="C34" s="125" t="s">
        <v>111</v>
      </c>
      <c r="D34" s="102" t="s">
        <v>127</v>
      </c>
      <c r="E34" s="103">
        <v>7000.8</v>
      </c>
      <c r="F34" s="126">
        <v>15</v>
      </c>
      <c r="G34" s="127">
        <v>1167</v>
      </c>
      <c r="H34" s="103"/>
      <c r="I34" s="144"/>
      <c r="J34" s="103"/>
      <c r="K34" s="103">
        <f>E34-I34</f>
        <v>7000.8</v>
      </c>
      <c r="L34" s="103">
        <v>0</v>
      </c>
      <c r="M34" s="103"/>
      <c r="N34" s="103">
        <v>857.15</v>
      </c>
      <c r="O34" s="103">
        <v>-0.04</v>
      </c>
      <c r="P34" s="237">
        <f t="shared" si="23"/>
        <v>805.09</v>
      </c>
      <c r="Q34" s="103">
        <f>SUM(N34:P34)+G34</f>
        <v>2829.2</v>
      </c>
      <c r="R34" s="248">
        <f>K34-Q34</f>
        <v>4171.6000000000004</v>
      </c>
      <c r="S34" s="170">
        <v>433.09500000000003</v>
      </c>
      <c r="T34" s="128">
        <f t="shared" si="21"/>
        <v>1435.16</v>
      </c>
      <c r="U34" s="244">
        <f t="shared" si="22"/>
        <v>140.02000000000001</v>
      </c>
      <c r="V34" s="129">
        <f t="shared" si="24"/>
        <v>2008.2750000000001</v>
      </c>
      <c r="X34" s="169"/>
    </row>
    <row r="35" spans="2:24" ht="21" x14ac:dyDescent="0.35">
      <c r="B35" s="102" t="s">
        <v>70</v>
      </c>
      <c r="C35" s="125" t="s">
        <v>46</v>
      </c>
      <c r="D35" s="102" t="s">
        <v>124</v>
      </c>
      <c r="E35" s="103">
        <v>7000.8</v>
      </c>
      <c r="F35" s="126">
        <v>15</v>
      </c>
      <c r="G35" s="127">
        <v>1945</v>
      </c>
      <c r="H35" s="103"/>
      <c r="I35" s="139">
        <v>8.8800000000000008</v>
      </c>
      <c r="J35" s="141"/>
      <c r="K35" s="141">
        <f t="shared" si="18"/>
        <v>6991.92</v>
      </c>
      <c r="L35" s="141">
        <v>0</v>
      </c>
      <c r="M35" s="103"/>
      <c r="N35" s="103">
        <v>857.15</v>
      </c>
      <c r="O35" s="103">
        <v>-0.12</v>
      </c>
      <c r="P35" s="237">
        <f t="shared" si="23"/>
        <v>805.09</v>
      </c>
      <c r="Q35" s="103">
        <f t="shared" si="19"/>
        <v>3607.12</v>
      </c>
      <c r="R35" s="248">
        <f t="shared" si="20"/>
        <v>3384.8</v>
      </c>
      <c r="S35" s="170">
        <v>433.09500000000003</v>
      </c>
      <c r="T35" s="128">
        <f t="shared" si="21"/>
        <v>1435.16</v>
      </c>
      <c r="U35" s="244">
        <f t="shared" si="22"/>
        <v>140.02000000000001</v>
      </c>
      <c r="V35" s="129">
        <f t="shared" si="24"/>
        <v>2008.2750000000001</v>
      </c>
      <c r="X35" s="169"/>
    </row>
    <row r="36" spans="2:24" ht="21" x14ac:dyDescent="0.35">
      <c r="B36" s="102" t="s">
        <v>71</v>
      </c>
      <c r="C36" s="125" t="s">
        <v>50</v>
      </c>
      <c r="D36" s="102" t="s">
        <v>124</v>
      </c>
      <c r="E36" s="103">
        <v>7000.8</v>
      </c>
      <c r="F36" s="126">
        <v>15</v>
      </c>
      <c r="G36" s="127">
        <v>2917</v>
      </c>
      <c r="H36" s="141"/>
      <c r="I36" s="130"/>
      <c r="J36" s="141"/>
      <c r="K36" s="141">
        <f t="shared" si="18"/>
        <v>7000.8</v>
      </c>
      <c r="L36" s="141">
        <v>0</v>
      </c>
      <c r="M36" s="103"/>
      <c r="N36" s="103">
        <v>857.15</v>
      </c>
      <c r="O36" s="103">
        <v>-0.04</v>
      </c>
      <c r="P36" s="237">
        <f t="shared" si="23"/>
        <v>805.09</v>
      </c>
      <c r="Q36" s="103">
        <f t="shared" si="19"/>
        <v>4579.2</v>
      </c>
      <c r="R36" s="248">
        <f t="shared" si="20"/>
        <v>2421.6000000000004</v>
      </c>
      <c r="S36" s="170">
        <v>433.09500000000003</v>
      </c>
      <c r="T36" s="128">
        <f t="shared" si="21"/>
        <v>1435.16</v>
      </c>
      <c r="U36" s="244">
        <f t="shared" si="22"/>
        <v>140.02000000000001</v>
      </c>
      <c r="V36" s="129">
        <f t="shared" si="24"/>
        <v>2008.2750000000001</v>
      </c>
      <c r="X36" s="169"/>
    </row>
    <row r="37" spans="2:24" ht="21" x14ac:dyDescent="0.35">
      <c r="B37" s="102" t="s">
        <v>72</v>
      </c>
      <c r="C37" s="30" t="s">
        <v>195</v>
      </c>
      <c r="D37" s="102" t="s">
        <v>124</v>
      </c>
      <c r="E37" s="103">
        <v>7000.8</v>
      </c>
      <c r="F37" s="126">
        <v>15</v>
      </c>
      <c r="G37" s="103"/>
      <c r="H37" s="103"/>
      <c r="I37" s="139"/>
      <c r="J37" s="141"/>
      <c r="K37" s="141">
        <f t="shared" si="18"/>
        <v>7000.8</v>
      </c>
      <c r="L37" s="141">
        <v>0</v>
      </c>
      <c r="M37" s="103"/>
      <c r="N37" s="103">
        <v>857.15</v>
      </c>
      <c r="O37" s="103">
        <v>-0.15</v>
      </c>
      <c r="P37" s="141"/>
      <c r="Q37" s="103">
        <f t="shared" si="19"/>
        <v>857</v>
      </c>
      <c r="R37" s="248">
        <f t="shared" si="20"/>
        <v>6143.8</v>
      </c>
      <c r="S37" s="170">
        <v>433.09500000000003</v>
      </c>
      <c r="T37" s="128"/>
      <c r="U37" s="128"/>
      <c r="V37" s="129">
        <f t="shared" si="24"/>
        <v>433.09500000000003</v>
      </c>
      <c r="X37" s="169"/>
    </row>
    <row r="38" spans="2:24" s="162" customFormat="1" ht="21" x14ac:dyDescent="0.35">
      <c r="B38" s="7" t="s">
        <v>73</v>
      </c>
      <c r="C38" s="30" t="s">
        <v>47</v>
      </c>
      <c r="D38" s="7" t="s">
        <v>125</v>
      </c>
      <c r="E38" s="103">
        <v>7000.8</v>
      </c>
      <c r="F38" s="126">
        <v>15</v>
      </c>
      <c r="G38" s="103"/>
      <c r="H38" s="103"/>
      <c r="I38" s="139"/>
      <c r="J38" s="141"/>
      <c r="K38" s="141">
        <f t="shared" si="18"/>
        <v>7000.8</v>
      </c>
      <c r="L38" s="141">
        <v>0</v>
      </c>
      <c r="M38" s="103"/>
      <c r="N38" s="103">
        <v>857.15</v>
      </c>
      <c r="O38" s="103">
        <v>-0.04</v>
      </c>
      <c r="P38" s="237">
        <f t="shared" si="23"/>
        <v>805.09</v>
      </c>
      <c r="Q38" s="103">
        <f t="shared" si="19"/>
        <v>1662.2</v>
      </c>
      <c r="R38" s="248">
        <f t="shared" si="20"/>
        <v>5338.6</v>
      </c>
      <c r="S38" s="170">
        <v>433.09500000000003</v>
      </c>
      <c r="T38" s="128">
        <f t="shared" si="21"/>
        <v>1435.16</v>
      </c>
      <c r="U38" s="244">
        <f t="shared" si="22"/>
        <v>140.02000000000001</v>
      </c>
      <c r="V38" s="129">
        <f t="shared" si="24"/>
        <v>2008.2750000000001</v>
      </c>
      <c r="X38" s="128"/>
    </row>
    <row r="39" spans="2:24" ht="21" x14ac:dyDescent="0.35">
      <c r="B39" s="102" t="s">
        <v>74</v>
      </c>
      <c r="C39" s="125" t="s">
        <v>53</v>
      </c>
      <c r="D39" s="102" t="s">
        <v>125</v>
      </c>
      <c r="E39" s="103">
        <v>7000.8</v>
      </c>
      <c r="F39" s="126">
        <v>15</v>
      </c>
      <c r="G39" s="141"/>
      <c r="H39" s="103"/>
      <c r="I39" s="139">
        <v>2.2200000000000002</v>
      </c>
      <c r="J39" s="103"/>
      <c r="K39" s="103">
        <f t="shared" si="18"/>
        <v>6998.58</v>
      </c>
      <c r="L39" s="103">
        <v>0</v>
      </c>
      <c r="M39" s="103"/>
      <c r="N39" s="103">
        <v>857.15</v>
      </c>
      <c r="O39" s="103">
        <v>-0.06</v>
      </c>
      <c r="P39" s="237">
        <f t="shared" si="23"/>
        <v>805.09</v>
      </c>
      <c r="Q39" s="103">
        <f>SUM(N39:P39)+G39</f>
        <v>1662.18</v>
      </c>
      <c r="R39" s="248">
        <f t="shared" si="20"/>
        <v>5336.4</v>
      </c>
      <c r="S39" s="170">
        <v>433.09500000000003</v>
      </c>
      <c r="T39" s="128">
        <f t="shared" si="21"/>
        <v>1435.16</v>
      </c>
      <c r="U39" s="244">
        <f t="shared" si="22"/>
        <v>140.02000000000001</v>
      </c>
      <c r="V39" s="129">
        <f t="shared" si="24"/>
        <v>2008.2750000000001</v>
      </c>
      <c r="X39" s="169"/>
    </row>
    <row r="40" spans="2:24" ht="21" x14ac:dyDescent="0.35">
      <c r="B40" s="102" t="s">
        <v>75</v>
      </c>
      <c r="C40" s="30" t="s">
        <v>203</v>
      </c>
      <c r="D40" s="102" t="s">
        <v>126</v>
      </c>
      <c r="E40" s="103">
        <v>7000.8</v>
      </c>
      <c r="F40" s="126">
        <v>15</v>
      </c>
      <c r="G40" s="141"/>
      <c r="H40" s="103"/>
      <c r="I40" s="144"/>
      <c r="J40" s="103"/>
      <c r="K40" s="103">
        <f t="shared" si="18"/>
        <v>7000.8</v>
      </c>
      <c r="L40" s="103">
        <v>0</v>
      </c>
      <c r="M40" s="103"/>
      <c r="N40" s="103">
        <v>857.15</v>
      </c>
      <c r="O40" s="103">
        <v>-0.15</v>
      </c>
      <c r="P40" s="141"/>
      <c r="Q40" s="103">
        <f>SUM(N40:P40)+G40</f>
        <v>857</v>
      </c>
      <c r="R40" s="248">
        <f t="shared" si="20"/>
        <v>6143.8</v>
      </c>
      <c r="S40" s="170">
        <v>433.09500000000003</v>
      </c>
      <c r="T40" s="128"/>
      <c r="U40" s="128"/>
      <c r="V40" s="129">
        <f t="shared" si="24"/>
        <v>433.09500000000003</v>
      </c>
      <c r="X40" s="169"/>
    </row>
    <row r="41" spans="2:24" ht="21" x14ac:dyDescent="0.35">
      <c r="B41" s="102" t="s">
        <v>76</v>
      </c>
      <c r="C41" s="30" t="s">
        <v>205</v>
      </c>
      <c r="D41" s="102" t="s">
        <v>126</v>
      </c>
      <c r="E41" s="103">
        <v>4667.2</v>
      </c>
      <c r="F41" s="126">
        <v>10</v>
      </c>
      <c r="G41" s="141"/>
      <c r="H41" s="103"/>
      <c r="I41" s="144"/>
      <c r="J41" s="103"/>
      <c r="K41" s="103">
        <f t="shared" ref="K41" si="25">E41-I41</f>
        <v>4667.2</v>
      </c>
      <c r="L41" s="103">
        <v>0</v>
      </c>
      <c r="M41" s="103"/>
      <c r="N41" s="103">
        <v>407.42</v>
      </c>
      <c r="O41" s="103">
        <v>-0.02</v>
      </c>
      <c r="P41" s="141"/>
      <c r="Q41" s="103">
        <f>SUM(N41:P41)+G41</f>
        <v>407.40000000000003</v>
      </c>
      <c r="R41" s="248">
        <f t="shared" ref="R41" si="26">K41-Q41</f>
        <v>4259.8</v>
      </c>
      <c r="S41" s="170">
        <v>288.73</v>
      </c>
      <c r="T41" s="128"/>
      <c r="U41" s="128"/>
      <c r="V41" s="129">
        <f t="shared" ref="V41" si="27">SUM(S41:U41)</f>
        <v>288.73</v>
      </c>
      <c r="X41" s="169"/>
    </row>
    <row r="42" spans="2:24" ht="21" x14ac:dyDescent="0.35">
      <c r="B42" s="158" t="s">
        <v>150</v>
      </c>
      <c r="C42" s="30" t="s">
        <v>171</v>
      </c>
      <c r="D42" s="158" t="s">
        <v>109</v>
      </c>
      <c r="E42" s="103">
        <v>7000.8</v>
      </c>
      <c r="F42" s="126">
        <v>15</v>
      </c>
      <c r="G42" s="141"/>
      <c r="H42" s="103"/>
      <c r="I42" s="144"/>
      <c r="J42" s="103"/>
      <c r="K42" s="103">
        <f t="shared" si="18"/>
        <v>7000.8</v>
      </c>
      <c r="L42" s="103">
        <v>0</v>
      </c>
      <c r="M42" s="103"/>
      <c r="N42" s="103">
        <v>857.15</v>
      </c>
      <c r="O42" s="103">
        <v>0.05</v>
      </c>
      <c r="P42" s="141"/>
      <c r="Q42" s="103">
        <f t="shared" ref="Q42:Q45" si="28">SUM(N42:P42)+G42</f>
        <v>857.19999999999993</v>
      </c>
      <c r="R42" s="248">
        <f t="shared" si="20"/>
        <v>6143.6</v>
      </c>
      <c r="S42" s="170">
        <v>433.09500000000003</v>
      </c>
      <c r="T42" s="128"/>
      <c r="U42" s="128"/>
      <c r="V42" s="129">
        <f t="shared" ref="V42:V45" si="29">SUM(S42:U42)</f>
        <v>433.09500000000003</v>
      </c>
      <c r="X42" s="169"/>
    </row>
    <row r="43" spans="2:24" ht="21" x14ac:dyDescent="0.35">
      <c r="B43" s="158" t="s">
        <v>151</v>
      </c>
      <c r="C43" s="30" t="s">
        <v>172</v>
      </c>
      <c r="D43" s="158" t="s">
        <v>109</v>
      </c>
      <c r="E43" s="103">
        <v>7000.8</v>
      </c>
      <c r="F43" s="126">
        <v>15</v>
      </c>
      <c r="G43" s="141"/>
      <c r="H43" s="103"/>
      <c r="I43" s="144"/>
      <c r="J43" s="103"/>
      <c r="K43" s="103">
        <f t="shared" si="18"/>
        <v>7000.8</v>
      </c>
      <c r="L43" s="103">
        <v>0</v>
      </c>
      <c r="M43" s="103"/>
      <c r="N43" s="103">
        <v>857.15</v>
      </c>
      <c r="O43" s="103">
        <v>0.05</v>
      </c>
      <c r="P43" s="141"/>
      <c r="Q43" s="103">
        <f t="shared" si="28"/>
        <v>857.19999999999993</v>
      </c>
      <c r="R43" s="248">
        <f t="shared" si="20"/>
        <v>6143.6</v>
      </c>
      <c r="S43" s="170">
        <v>433.09500000000003</v>
      </c>
      <c r="T43" s="128"/>
      <c r="U43" s="128"/>
      <c r="V43" s="129">
        <f t="shared" si="29"/>
        <v>433.09500000000003</v>
      </c>
      <c r="X43" s="169"/>
    </row>
    <row r="44" spans="2:24" ht="21" x14ac:dyDescent="0.35">
      <c r="B44" s="158" t="s">
        <v>152</v>
      </c>
      <c r="C44" s="30" t="s">
        <v>173</v>
      </c>
      <c r="D44" s="158" t="s">
        <v>109</v>
      </c>
      <c r="E44" s="103">
        <v>7000.8</v>
      </c>
      <c r="F44" s="126">
        <v>15</v>
      </c>
      <c r="G44" s="141"/>
      <c r="H44" s="103"/>
      <c r="I44" s="144">
        <v>11.1</v>
      </c>
      <c r="J44" s="103"/>
      <c r="K44" s="103">
        <f t="shared" si="18"/>
        <v>6989.7</v>
      </c>
      <c r="L44" s="103">
        <v>0</v>
      </c>
      <c r="M44" s="103"/>
      <c r="N44" s="103">
        <v>857.15</v>
      </c>
      <c r="O44" s="103">
        <v>-0.05</v>
      </c>
      <c r="P44" s="141"/>
      <c r="Q44" s="103">
        <f t="shared" ref="Q44" si="30">SUM(N44:P44)+G44</f>
        <v>857.1</v>
      </c>
      <c r="R44" s="248">
        <f t="shared" si="20"/>
        <v>6132.5999999999995</v>
      </c>
      <c r="S44" s="170">
        <v>433.09500000000003</v>
      </c>
      <c r="T44" s="128"/>
      <c r="U44" s="128"/>
      <c r="V44" s="129">
        <f t="shared" ref="V44" si="31">SUM(S44:U44)</f>
        <v>433.09500000000003</v>
      </c>
      <c r="X44" s="169"/>
    </row>
    <row r="45" spans="2:24" ht="21" x14ac:dyDescent="0.35">
      <c r="B45" s="158" t="s">
        <v>198</v>
      </c>
      <c r="C45" s="30" t="s">
        <v>48</v>
      </c>
      <c r="D45" s="158" t="s">
        <v>109</v>
      </c>
      <c r="E45" s="103">
        <v>7000.8</v>
      </c>
      <c r="F45" s="126">
        <v>15</v>
      </c>
      <c r="G45" s="141"/>
      <c r="H45" s="103"/>
      <c r="I45" s="144"/>
      <c r="J45" s="103"/>
      <c r="K45" s="103">
        <f t="shared" si="18"/>
        <v>7000.8</v>
      </c>
      <c r="L45" s="103">
        <v>0</v>
      </c>
      <c r="M45" s="103"/>
      <c r="N45" s="103">
        <v>857.15</v>
      </c>
      <c r="O45" s="103">
        <v>-0.04</v>
      </c>
      <c r="P45" s="237">
        <f t="shared" ref="P45" si="32">ROUND(E45*0.115,2)</f>
        <v>805.09</v>
      </c>
      <c r="Q45" s="103">
        <f t="shared" si="28"/>
        <v>1662.2</v>
      </c>
      <c r="R45" s="248">
        <f t="shared" si="20"/>
        <v>5338.6</v>
      </c>
      <c r="S45" s="170">
        <v>433.09500000000003</v>
      </c>
      <c r="T45" s="128">
        <f t="shared" ref="T45" si="33">ROUND(+E45*17.5%,2)+ROUND(E45*3%,2)</f>
        <v>1435.16</v>
      </c>
      <c r="U45" s="244">
        <f t="shared" ref="U45" si="34">ROUND(+E45*2%,2)</f>
        <v>140.02000000000001</v>
      </c>
      <c r="V45" s="129">
        <f t="shared" si="29"/>
        <v>2008.2750000000001</v>
      </c>
      <c r="X45" s="169"/>
    </row>
    <row r="46" spans="2:24" ht="18.75" x14ac:dyDescent="0.3">
      <c r="B46" s="138" t="s">
        <v>20</v>
      </c>
      <c r="C46" s="132"/>
      <c r="D46" s="133"/>
      <c r="E46" s="135">
        <f t="shared" ref="E46:Q46" si="35">SUM(E31:E45)</f>
        <v>103121.40000000002</v>
      </c>
      <c r="F46" s="135">
        <f t="shared" si="35"/>
        <v>220</v>
      </c>
      <c r="G46" s="135">
        <f>SUM(G31:G45)</f>
        <v>7585</v>
      </c>
      <c r="H46" s="135">
        <f t="shared" si="35"/>
        <v>0</v>
      </c>
      <c r="I46" s="135">
        <f t="shared" si="35"/>
        <v>22.200000000000003</v>
      </c>
      <c r="J46" s="135">
        <f t="shared" si="35"/>
        <v>0</v>
      </c>
      <c r="K46" s="135">
        <f t="shared" si="35"/>
        <v>103099.20000000001</v>
      </c>
      <c r="L46" s="135">
        <f t="shared" si="35"/>
        <v>0</v>
      </c>
      <c r="M46" s="135">
        <f t="shared" si="35"/>
        <v>0</v>
      </c>
      <c r="N46" s="135">
        <f t="shared" si="35"/>
        <v>12502.149999999998</v>
      </c>
      <c r="O46" s="135">
        <f t="shared" si="35"/>
        <v>-0.47</v>
      </c>
      <c r="P46" s="135">
        <f>SUM(P31:P45)</f>
        <v>6440.72</v>
      </c>
      <c r="Q46" s="135">
        <f t="shared" si="35"/>
        <v>26527.400000000005</v>
      </c>
      <c r="R46" s="135">
        <f>ROUND(SUM(R31:R45),1)</f>
        <v>76571.8</v>
      </c>
      <c r="S46" s="135">
        <f>SUM(S31:S45)</f>
        <v>6365.6850000000013</v>
      </c>
      <c r="T46" s="135">
        <f>SUM(T31:T45)</f>
        <v>11481.28</v>
      </c>
      <c r="U46" s="135">
        <f>SUM(U31:U45)</f>
        <v>1120.1600000000001</v>
      </c>
      <c r="V46" s="135">
        <f>SUM(V31:V45)</f>
        <v>18967.125</v>
      </c>
      <c r="X46" s="169"/>
    </row>
    <row r="47" spans="2:24" ht="18.75" hidden="1" x14ac:dyDescent="0.3">
      <c r="C47" s="136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37"/>
      <c r="X47" s="169"/>
    </row>
    <row r="48" spans="2:24" ht="18.75" x14ac:dyDescent="0.3">
      <c r="B48" s="138" t="s">
        <v>78</v>
      </c>
      <c r="C48" s="31" t="s">
        <v>34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37"/>
      <c r="X48" s="169"/>
    </row>
    <row r="49" spans="1:24" ht="21" x14ac:dyDescent="0.35">
      <c r="B49" s="102" t="s">
        <v>69</v>
      </c>
      <c r="C49" s="125" t="s">
        <v>196</v>
      </c>
      <c r="D49" s="102" t="s">
        <v>130</v>
      </c>
      <c r="E49" s="103">
        <v>7443.8</v>
      </c>
      <c r="F49" s="126">
        <v>15</v>
      </c>
      <c r="G49" s="137"/>
      <c r="H49" s="103"/>
      <c r="I49" s="144"/>
      <c r="J49" s="141"/>
      <c r="K49" s="141">
        <f t="shared" ref="K49" si="36">E49-I49</f>
        <v>7443.8</v>
      </c>
      <c r="L49" s="141"/>
      <c r="M49" s="103"/>
      <c r="N49" s="103">
        <v>951.78</v>
      </c>
      <c r="O49" s="103">
        <v>0.02</v>
      </c>
      <c r="P49" s="141"/>
      <c r="Q49" s="103">
        <f t="shared" ref="Q49" si="37">SUM(N49:P49)+G49</f>
        <v>951.8</v>
      </c>
      <c r="R49" s="248">
        <f t="shared" ref="R49" si="38">K49-Q49</f>
        <v>6492</v>
      </c>
      <c r="S49" s="170">
        <v>446.71999999999991</v>
      </c>
      <c r="T49" s="128"/>
      <c r="U49" s="128"/>
      <c r="V49" s="129">
        <f t="shared" ref="V49:V54" si="39">SUM(S49:U49)</f>
        <v>446.71999999999991</v>
      </c>
      <c r="X49" s="169"/>
    </row>
    <row r="50" spans="1:24" ht="21" x14ac:dyDescent="0.35">
      <c r="B50" s="102" t="s">
        <v>81</v>
      </c>
      <c r="C50" s="125" t="s">
        <v>168</v>
      </c>
      <c r="D50" s="102" t="s">
        <v>128</v>
      </c>
      <c r="E50" s="103">
        <v>7000.8</v>
      </c>
      <c r="F50" s="126">
        <v>15</v>
      </c>
      <c r="G50" s="141"/>
      <c r="H50" s="103"/>
      <c r="I50" s="144"/>
      <c r="J50" s="103"/>
      <c r="K50" s="103">
        <f>E50-I50</f>
        <v>7000.8</v>
      </c>
      <c r="L50" s="103"/>
      <c r="M50" s="103"/>
      <c r="N50" s="103">
        <v>857.15</v>
      </c>
      <c r="O50" s="103">
        <v>0.05</v>
      </c>
      <c r="P50" s="141"/>
      <c r="Q50" s="103">
        <f>SUM(N50:P50)+G50</f>
        <v>857.19999999999993</v>
      </c>
      <c r="R50" s="248">
        <f>K50-Q50</f>
        <v>6143.6</v>
      </c>
      <c r="S50" s="170">
        <v>433.09500000000003</v>
      </c>
      <c r="T50" s="128"/>
      <c r="U50" s="128"/>
      <c r="V50" s="129">
        <f t="shared" si="39"/>
        <v>433.09500000000003</v>
      </c>
      <c r="X50" s="169"/>
    </row>
    <row r="51" spans="1:24" ht="21" x14ac:dyDescent="0.35">
      <c r="B51" s="102" t="s">
        <v>107</v>
      </c>
      <c r="C51" s="125" t="s">
        <v>108</v>
      </c>
      <c r="D51" s="102" t="s">
        <v>109</v>
      </c>
      <c r="E51" s="103">
        <v>7000.8</v>
      </c>
      <c r="F51" s="126">
        <v>15</v>
      </c>
      <c r="G51" s="103"/>
      <c r="H51" s="103"/>
      <c r="I51" s="144"/>
      <c r="J51" s="103"/>
      <c r="K51" s="103">
        <f>E51-I51</f>
        <v>7000.8</v>
      </c>
      <c r="L51" s="103"/>
      <c r="M51" s="103"/>
      <c r="N51" s="103">
        <v>857.15</v>
      </c>
      <c r="O51" s="103">
        <v>-0.04</v>
      </c>
      <c r="P51" s="237">
        <f t="shared" ref="P51" si="40">ROUND(E51*0.115,2)</f>
        <v>805.09</v>
      </c>
      <c r="Q51" s="103">
        <f>SUM(N51:P51)+G51</f>
        <v>1662.2</v>
      </c>
      <c r="R51" s="248">
        <f>K51-Q51</f>
        <v>5338.6</v>
      </c>
      <c r="S51" s="170">
        <v>433.09500000000003</v>
      </c>
      <c r="T51" s="128">
        <f t="shared" ref="T51" si="41">ROUND(+E51*17.5%,2)+ROUND(E51*3%,2)</f>
        <v>1435.16</v>
      </c>
      <c r="U51" s="244">
        <f t="shared" ref="U51" si="42">ROUND(+E51*2%,2)</f>
        <v>140.02000000000001</v>
      </c>
      <c r="V51" s="129">
        <f t="shared" si="39"/>
        <v>2008.2750000000001</v>
      </c>
      <c r="X51" s="169"/>
    </row>
    <row r="52" spans="1:24" ht="31.5" x14ac:dyDescent="0.35">
      <c r="A52" s="102" t="s">
        <v>179</v>
      </c>
      <c r="B52" s="158" t="s">
        <v>156</v>
      </c>
      <c r="C52" s="30" t="s">
        <v>183</v>
      </c>
      <c r="D52" s="198" t="s">
        <v>160</v>
      </c>
      <c r="E52" s="103">
        <v>6791.5</v>
      </c>
      <c r="F52" s="126">
        <v>15</v>
      </c>
      <c r="G52" s="141"/>
      <c r="H52" s="103"/>
      <c r="I52" s="144"/>
      <c r="J52" s="103"/>
      <c r="K52" s="103">
        <f t="shared" ref="K52:K54" si="43">E52-I52</f>
        <v>6791.5</v>
      </c>
      <c r="L52" s="103"/>
      <c r="M52" s="103"/>
      <c r="N52" s="103">
        <v>812.45</v>
      </c>
      <c r="O52" s="103">
        <v>-0.15</v>
      </c>
      <c r="P52" s="141"/>
      <c r="Q52" s="103">
        <f t="shared" ref="Q52" si="44">SUM(N52:P52)+G52</f>
        <v>812.30000000000007</v>
      </c>
      <c r="R52" s="248">
        <f t="shared" ref="R52:R53" si="45">K52-Q52</f>
        <v>5979.2</v>
      </c>
      <c r="S52" s="170">
        <v>426.65999999999997</v>
      </c>
      <c r="T52" s="128"/>
      <c r="U52" s="128"/>
      <c r="V52" s="129">
        <f t="shared" ref="V52" si="46">SUM(S52:U52)</f>
        <v>426.65999999999997</v>
      </c>
      <c r="X52" s="169"/>
    </row>
    <row r="53" spans="1:24" ht="31.5" x14ac:dyDescent="0.35">
      <c r="B53" s="158" t="s">
        <v>157</v>
      </c>
      <c r="C53" s="30" t="s">
        <v>197</v>
      </c>
      <c r="D53" s="198" t="s">
        <v>160</v>
      </c>
      <c r="E53" s="103">
        <v>6791.5</v>
      </c>
      <c r="F53" s="126">
        <v>15</v>
      </c>
      <c r="G53" s="141"/>
      <c r="H53" s="103"/>
      <c r="I53" s="144">
        <v>3.23</v>
      </c>
      <c r="J53" s="103"/>
      <c r="K53" s="103">
        <f t="shared" si="43"/>
        <v>6788.27</v>
      </c>
      <c r="L53" s="103"/>
      <c r="M53" s="103"/>
      <c r="N53" s="103">
        <v>812.45</v>
      </c>
      <c r="O53" s="103">
        <v>0.02</v>
      </c>
      <c r="P53" s="141"/>
      <c r="Q53" s="103">
        <f t="shared" ref="Q53:Q54" si="47">SUM(N53:P53)+G53</f>
        <v>812.47</v>
      </c>
      <c r="R53" s="248">
        <f t="shared" si="45"/>
        <v>5975.8</v>
      </c>
      <c r="S53" s="170">
        <v>426.65999999999997</v>
      </c>
      <c r="T53" s="128"/>
      <c r="U53" s="128"/>
      <c r="V53" s="129">
        <f t="shared" si="39"/>
        <v>426.65999999999997</v>
      </c>
      <c r="X53" s="169"/>
    </row>
    <row r="54" spans="1:24" ht="31.5" x14ac:dyDescent="0.35">
      <c r="B54" s="158" t="s">
        <v>158</v>
      </c>
      <c r="C54" s="30" t="s">
        <v>169</v>
      </c>
      <c r="D54" s="198" t="s">
        <v>160</v>
      </c>
      <c r="E54" s="103">
        <v>6791.5</v>
      </c>
      <c r="F54" s="126">
        <v>15</v>
      </c>
      <c r="G54" s="103"/>
      <c r="H54" s="103"/>
      <c r="I54" s="103"/>
      <c r="J54" s="103"/>
      <c r="K54" s="103">
        <f t="shared" si="43"/>
        <v>6791.5</v>
      </c>
      <c r="L54" s="103"/>
      <c r="M54" s="103"/>
      <c r="N54" s="103">
        <v>812.45</v>
      </c>
      <c r="O54" s="103">
        <v>-0.15</v>
      </c>
      <c r="P54" s="141"/>
      <c r="Q54" s="103">
        <f t="shared" si="47"/>
        <v>812.30000000000007</v>
      </c>
      <c r="R54" s="248">
        <f>K54-Q54</f>
        <v>5979.2</v>
      </c>
      <c r="S54" s="170">
        <v>426.65999999999997</v>
      </c>
      <c r="T54" s="128"/>
      <c r="U54" s="128"/>
      <c r="V54" s="129">
        <f t="shared" si="39"/>
        <v>426.65999999999997</v>
      </c>
      <c r="X54" s="169"/>
    </row>
    <row r="55" spans="1:24" ht="18.75" x14ac:dyDescent="0.3">
      <c r="B55" s="138" t="s">
        <v>20</v>
      </c>
      <c r="C55" s="132"/>
      <c r="D55" s="133"/>
      <c r="E55" s="135">
        <f>SUM(E49:E54)</f>
        <v>41819.9</v>
      </c>
      <c r="F55" s="135"/>
      <c r="G55" s="135">
        <f t="shared" ref="G55:Q55" si="48">SUM(G49:G54)</f>
        <v>0</v>
      </c>
      <c r="H55" s="135">
        <f t="shared" si="48"/>
        <v>0</v>
      </c>
      <c r="I55" s="135">
        <f t="shared" si="48"/>
        <v>3.23</v>
      </c>
      <c r="J55" s="135">
        <f t="shared" si="48"/>
        <v>0</v>
      </c>
      <c r="K55" s="135">
        <f t="shared" si="48"/>
        <v>41816.67</v>
      </c>
      <c r="L55" s="135">
        <f t="shared" si="48"/>
        <v>0</v>
      </c>
      <c r="M55" s="135">
        <f t="shared" si="48"/>
        <v>0</v>
      </c>
      <c r="N55" s="135">
        <f t="shared" si="48"/>
        <v>5103.4299999999994</v>
      </c>
      <c r="O55" s="135">
        <f t="shared" si="48"/>
        <v>-0.25</v>
      </c>
      <c r="P55" s="135">
        <f>SUM(P49:P54)</f>
        <v>805.09</v>
      </c>
      <c r="Q55" s="135">
        <f t="shared" si="48"/>
        <v>5908.27</v>
      </c>
      <c r="R55" s="135">
        <f>ROUND(SUM(R49:R54),1)</f>
        <v>35908.400000000001</v>
      </c>
      <c r="S55" s="135">
        <f>SUM(S49:S54)</f>
        <v>2592.8899999999994</v>
      </c>
      <c r="T55" s="135">
        <f>SUM(T49:T54)</f>
        <v>1435.16</v>
      </c>
      <c r="U55" s="135">
        <f>SUM(U49:U54)</f>
        <v>140.02000000000001</v>
      </c>
      <c r="V55" s="135">
        <f>SUM(V49:V54)</f>
        <v>4168.07</v>
      </c>
      <c r="X55" s="169"/>
    </row>
    <row r="56" spans="1:24" ht="18.75" hidden="1" x14ac:dyDescent="0.3">
      <c r="B56" s="138"/>
      <c r="C56" s="136"/>
      <c r="E56" s="103"/>
      <c r="F56" s="103"/>
      <c r="G56" s="103"/>
      <c r="H56" s="103"/>
      <c r="I56" s="103"/>
      <c r="J56" s="103"/>
      <c r="K56" s="146"/>
      <c r="L56" s="146"/>
      <c r="M56" s="146"/>
      <c r="N56" s="146"/>
      <c r="O56" s="146"/>
      <c r="P56" s="146"/>
      <c r="Q56" s="146"/>
      <c r="R56" s="147"/>
      <c r="S56" s="148"/>
      <c r="T56" s="148"/>
      <c r="U56" s="148"/>
      <c r="V56" s="148"/>
      <c r="X56" s="169"/>
    </row>
    <row r="57" spans="1:24" ht="18.75" x14ac:dyDescent="0.3">
      <c r="B57" s="138" t="s">
        <v>84</v>
      </c>
      <c r="C57" s="31" t="s">
        <v>85</v>
      </c>
      <c r="E57" s="103"/>
      <c r="F57" s="103"/>
      <c r="G57" s="103"/>
      <c r="H57" s="103"/>
      <c r="I57" s="103"/>
      <c r="J57" s="103"/>
      <c r="K57" s="146"/>
      <c r="L57" s="146"/>
      <c r="M57" s="146"/>
      <c r="N57" s="146"/>
      <c r="O57" s="146"/>
      <c r="P57" s="146"/>
      <c r="Q57" s="146"/>
      <c r="R57" s="147"/>
      <c r="S57" s="148"/>
      <c r="T57" s="148"/>
      <c r="U57" s="148"/>
      <c r="V57" s="148"/>
      <c r="X57" s="169"/>
    </row>
    <row r="58" spans="1:24" ht="21" x14ac:dyDescent="0.35">
      <c r="B58" s="102" t="s">
        <v>86</v>
      </c>
      <c r="C58" s="125" t="s">
        <v>200</v>
      </c>
      <c r="D58" s="102" t="s">
        <v>114</v>
      </c>
      <c r="E58" s="103">
        <v>13000</v>
      </c>
      <c r="F58" s="126">
        <v>15</v>
      </c>
      <c r="G58" s="141"/>
      <c r="H58" s="103"/>
      <c r="I58" s="103"/>
      <c r="J58" s="103"/>
      <c r="K58" s="103">
        <f>E58-I58</f>
        <v>13000</v>
      </c>
      <c r="L58" s="103">
        <v>0</v>
      </c>
      <c r="M58" s="103"/>
      <c r="N58" s="103">
        <v>2161.23</v>
      </c>
      <c r="O58" s="103">
        <v>-0.03</v>
      </c>
      <c r="P58" s="237">
        <f t="shared" ref="P58" si="49">ROUND(E58*0.115,2)</f>
        <v>1495</v>
      </c>
      <c r="Q58" s="103">
        <f>SUM(N58:P58)+G58</f>
        <v>3656.2</v>
      </c>
      <c r="R58" s="248">
        <f>K58-Q58</f>
        <v>9343.7999999999993</v>
      </c>
      <c r="S58" s="29">
        <v>617.625</v>
      </c>
      <c r="T58" s="128">
        <f t="shared" ref="T58" si="50">ROUND(+E58*17.5%,2)+ROUND(E58*3%,2)</f>
        <v>2665</v>
      </c>
      <c r="U58" s="244">
        <f>ROUND(+E58*2%,2)</f>
        <v>260</v>
      </c>
      <c r="V58" s="129">
        <f t="shared" ref="V58" si="51">SUM(S58:U58)</f>
        <v>3542.625</v>
      </c>
      <c r="X58" s="169"/>
    </row>
    <row r="59" spans="1:24" ht="18.75" x14ac:dyDescent="0.3">
      <c r="B59" s="138" t="s">
        <v>20</v>
      </c>
      <c r="E59" s="135">
        <f>E58</f>
        <v>13000</v>
      </c>
      <c r="F59" s="135"/>
      <c r="G59" s="135">
        <f>+G58</f>
        <v>0</v>
      </c>
      <c r="H59" s="135"/>
      <c r="I59" s="135">
        <f>I58</f>
        <v>0</v>
      </c>
      <c r="J59" s="135">
        <f>J58</f>
        <v>0</v>
      </c>
      <c r="K59" s="135">
        <f>K58</f>
        <v>13000</v>
      </c>
      <c r="L59" s="135">
        <f t="shared" ref="L59:V59" si="52">L58</f>
        <v>0</v>
      </c>
      <c r="M59" s="135">
        <f t="shared" si="52"/>
        <v>0</v>
      </c>
      <c r="N59" s="135">
        <f>N58</f>
        <v>2161.23</v>
      </c>
      <c r="O59" s="135">
        <f t="shared" si="52"/>
        <v>-0.03</v>
      </c>
      <c r="P59" s="135">
        <f>P58</f>
        <v>1495</v>
      </c>
      <c r="Q59" s="135">
        <f t="shared" si="52"/>
        <v>3656.2</v>
      </c>
      <c r="R59" s="135">
        <f>ROUND(R58,1)</f>
        <v>9343.7999999999993</v>
      </c>
      <c r="S59" s="135">
        <f>S58</f>
        <v>617.625</v>
      </c>
      <c r="T59" s="135">
        <f t="shared" si="52"/>
        <v>2665</v>
      </c>
      <c r="U59" s="135">
        <f>U58</f>
        <v>260</v>
      </c>
      <c r="V59" s="135">
        <f t="shared" si="52"/>
        <v>3542.625</v>
      </c>
      <c r="X59" s="169"/>
    </row>
    <row r="60" spans="1:24" ht="12" customHeight="1" x14ac:dyDescent="0.3">
      <c r="B60" s="138"/>
      <c r="E60" s="103"/>
      <c r="F60" s="103"/>
      <c r="G60" s="103"/>
      <c r="H60" s="103"/>
      <c r="I60" s="103"/>
      <c r="J60" s="103"/>
      <c r="K60" s="146"/>
      <c r="L60" s="146"/>
      <c r="M60" s="146"/>
      <c r="N60" s="146"/>
      <c r="O60" s="146"/>
      <c r="P60" s="146"/>
      <c r="Q60" s="146"/>
      <c r="R60" s="147"/>
      <c r="S60" s="148"/>
      <c r="T60" s="148"/>
      <c r="U60" s="148"/>
      <c r="V60" s="148"/>
    </row>
    <row r="61" spans="1:24" ht="18.75" hidden="1" x14ac:dyDescent="0.3">
      <c r="R61" s="149"/>
    </row>
    <row r="62" spans="1:24" ht="18.75" x14ac:dyDescent="0.3">
      <c r="C62" s="150" t="s">
        <v>56</v>
      </c>
      <c r="E62" s="151">
        <f>E9+E21+E28+E46+E55+E59</f>
        <v>270130.22499999998</v>
      </c>
      <c r="F62" s="151"/>
      <c r="G62" s="152">
        <f>G9+G21+G28+G46+G55+G59</f>
        <v>18107.02</v>
      </c>
      <c r="H62" s="151"/>
      <c r="I62" s="151">
        <f t="shared" ref="I62:Q62" si="53">I9+I21+I28+I46+I55+I59</f>
        <v>334.1</v>
      </c>
      <c r="J62" s="151">
        <f t="shared" si="53"/>
        <v>0</v>
      </c>
      <c r="K62" s="151">
        <f t="shared" si="53"/>
        <v>269796.125</v>
      </c>
      <c r="L62" s="151">
        <f t="shared" si="53"/>
        <v>0</v>
      </c>
      <c r="M62" s="151">
        <f t="shared" si="53"/>
        <v>0</v>
      </c>
      <c r="N62" s="151">
        <f t="shared" si="53"/>
        <v>34588.69</v>
      </c>
      <c r="O62" s="151">
        <f t="shared" si="53"/>
        <v>-0.54</v>
      </c>
      <c r="P62" s="152">
        <f>P9+P21+P28+P46+P55+P59</f>
        <v>19415.780000000002</v>
      </c>
      <c r="Q62" s="151">
        <f t="shared" si="53"/>
        <v>72110.95</v>
      </c>
      <c r="R62" s="153">
        <f>ROUND(+R9+R21+R28+R46+R55+R59,1)</f>
        <v>197685.2</v>
      </c>
      <c r="S62" s="151">
        <f>S9+S21+S28+S46+S55+S59</f>
        <v>16295.585000000001</v>
      </c>
      <c r="T62" s="151">
        <f>T59+T55+T46+T28+T21+T9</f>
        <v>34610.732475000004</v>
      </c>
      <c r="U62" s="152">
        <f>U9+U21+U28+U46+U55+U59</f>
        <v>3376.73</v>
      </c>
      <c r="V62" s="154">
        <f>V9+V21+V28+V46+V55+V59</f>
        <v>54283.047474999999</v>
      </c>
    </row>
    <row r="63" spans="1:24" ht="18.75" x14ac:dyDescent="0.3">
      <c r="S63" s="151"/>
      <c r="T63" s="151"/>
    </row>
    <row r="64" spans="1:24" x14ac:dyDescent="0.25">
      <c r="T64" s="103"/>
      <c r="X64" s="169"/>
    </row>
    <row r="66" spans="3:20" x14ac:dyDescent="0.25">
      <c r="I66" s="169"/>
    </row>
    <row r="71" spans="3:20" ht="16.5" thickBot="1" x14ac:dyDescent="0.3">
      <c r="E71" s="293"/>
      <c r="F71" s="293"/>
      <c r="G71" s="246"/>
      <c r="H71" s="246"/>
      <c r="P71" s="294"/>
      <c r="Q71" s="294"/>
    </row>
    <row r="72" spans="3:20" ht="15" x14ac:dyDescent="0.25">
      <c r="E72" s="295" t="s">
        <v>91</v>
      </c>
      <c r="F72" s="295"/>
      <c r="G72" s="247"/>
      <c r="H72" s="247"/>
      <c r="P72" s="155"/>
      <c r="Q72" s="155"/>
      <c r="R72" s="303" t="s">
        <v>202</v>
      </c>
      <c r="S72" s="296"/>
      <c r="T72" s="246"/>
    </row>
    <row r="76" spans="3:20" x14ac:dyDescent="0.25">
      <c r="C76" s="102" t="s">
        <v>90</v>
      </c>
    </row>
  </sheetData>
  <mergeCells count="5">
    <mergeCell ref="B4:V4"/>
    <mergeCell ref="E71:F71"/>
    <mergeCell ref="P71:Q71"/>
    <mergeCell ref="E72:F72"/>
    <mergeCell ref="R72:S72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0EB1B-7438-436E-8C4C-161D7DD5BEED}">
  <sheetPr>
    <pageSetUpPr fitToPage="1"/>
  </sheetPr>
  <dimension ref="A3:X80"/>
  <sheetViews>
    <sheetView topLeftCell="G46" zoomScale="85" zoomScaleNormal="85" workbookViewId="0">
      <selection activeCell="T46" sqref="T46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5.85546875" style="102" bestFit="1" customWidth="1"/>
    <col min="8" max="8" width="14.140625" style="102" hidden="1" customWidth="1"/>
    <col min="9" max="9" width="13.28515625" style="102" customWidth="1"/>
    <col min="10" max="10" width="13.28515625" style="102" hidden="1" customWidth="1"/>
    <col min="11" max="11" width="17.42578125" style="102" bestFit="1" customWidth="1"/>
    <col min="12" max="12" width="9.42578125" style="102" hidden="1" customWidth="1"/>
    <col min="13" max="13" width="14.42578125" style="102" hidden="1" customWidth="1"/>
    <col min="14" max="14" width="15.85546875" style="102" bestFit="1" customWidth="1"/>
    <col min="15" max="15" width="11.140625" style="102" bestFit="1" customWidth="1"/>
    <col min="16" max="16" width="14.42578125" style="102" bestFit="1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4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4" ht="16.5" customHeight="1" x14ac:dyDescent="0.25">
      <c r="B4" s="291" t="s">
        <v>207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4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2" t="s">
        <v>206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4" x14ac:dyDescent="0.25">
      <c r="B6" s="121" t="s">
        <v>13</v>
      </c>
      <c r="C6" s="5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4" ht="21" x14ac:dyDescent="0.35">
      <c r="B7" s="102" t="s">
        <v>15</v>
      </c>
      <c r="C7" s="125" t="s">
        <v>16</v>
      </c>
      <c r="D7" s="102" t="s">
        <v>19</v>
      </c>
      <c r="E7" s="103">
        <v>19461.365000000002</v>
      </c>
      <c r="F7" s="126">
        <v>15</v>
      </c>
      <c r="G7" s="141"/>
      <c r="H7" s="103"/>
      <c r="I7" s="103"/>
      <c r="J7" s="103"/>
      <c r="K7" s="103">
        <f>E7-I7</f>
        <v>19461.365000000002</v>
      </c>
      <c r="L7" s="103">
        <v>0</v>
      </c>
      <c r="M7" s="103"/>
      <c r="N7" s="103">
        <v>3721.35</v>
      </c>
      <c r="O7" s="103">
        <v>-0.04</v>
      </c>
      <c r="P7" s="237">
        <f>ROUND(E7*0.115,2)</f>
        <v>2238.06</v>
      </c>
      <c r="Q7" s="103">
        <f>SUM(N7:P7)+G7</f>
        <v>5959.37</v>
      </c>
      <c r="R7" s="190">
        <f>K7-Q7</f>
        <v>13501.995000000003</v>
      </c>
      <c r="S7" s="29">
        <v>790.02500000000009</v>
      </c>
      <c r="T7" s="128">
        <f>+E7*17.5%+E7*3%</f>
        <v>3989.5798249999998</v>
      </c>
      <c r="U7" s="244">
        <f>ROUND(+E7*2%,2)</f>
        <v>389.23</v>
      </c>
      <c r="V7" s="129">
        <f>SUM(S7:U7)</f>
        <v>5168.8348249999999</v>
      </c>
      <c r="X7" s="169"/>
    </row>
    <row r="8" spans="2:24" ht="21" x14ac:dyDescent="0.35">
      <c r="B8" s="102" t="s">
        <v>17</v>
      </c>
      <c r="C8" s="125" t="s">
        <v>18</v>
      </c>
      <c r="D8" s="102" t="s">
        <v>2</v>
      </c>
      <c r="E8" s="103">
        <v>6247.33</v>
      </c>
      <c r="F8" s="126">
        <v>15</v>
      </c>
      <c r="G8" s="178">
        <v>1000</v>
      </c>
      <c r="H8" s="103"/>
      <c r="I8" s="130"/>
      <c r="J8" s="103"/>
      <c r="K8" s="103">
        <f>E8-I8</f>
        <v>6247.33</v>
      </c>
      <c r="L8" s="103">
        <v>0</v>
      </c>
      <c r="M8" s="103"/>
      <c r="N8" s="103">
        <v>696.21</v>
      </c>
      <c r="O8" s="103">
        <v>-0.12</v>
      </c>
      <c r="P8" s="237">
        <f>ROUND(E8*0.115,2)</f>
        <v>718.44</v>
      </c>
      <c r="Q8" s="103">
        <f>SUM(N8:P8)+G8</f>
        <v>2414.5300000000002</v>
      </c>
      <c r="R8" s="190">
        <f>K8-Q8</f>
        <v>3832.7999999999997</v>
      </c>
      <c r="S8" s="29">
        <v>396.69499999999999</v>
      </c>
      <c r="T8" s="128">
        <f>+E8*17.5%+E8*3%</f>
        <v>1280.7026499999997</v>
      </c>
      <c r="U8" s="244">
        <f>ROUND(+E8*2%,2)</f>
        <v>124.95</v>
      </c>
      <c r="V8" s="129">
        <f>SUM(S8:U8)</f>
        <v>1802.3476499999997</v>
      </c>
      <c r="X8" s="169"/>
    </row>
    <row r="9" spans="2:24" ht="18.75" x14ac:dyDescent="0.3">
      <c r="B9" s="131" t="s">
        <v>20</v>
      </c>
      <c r="C9" s="132"/>
      <c r="D9" s="133"/>
      <c r="E9" s="135">
        <f>SUM(E7:E8)</f>
        <v>25708.695</v>
      </c>
      <c r="F9" s="135"/>
      <c r="G9" s="135">
        <f>+G8+G7</f>
        <v>1000</v>
      </c>
      <c r="H9" s="135"/>
      <c r="I9" s="135">
        <f t="shared" ref="I9:J9" si="0">SUM(I7:I8)</f>
        <v>0</v>
      </c>
      <c r="J9" s="135">
        <f t="shared" si="0"/>
        <v>0</v>
      </c>
      <c r="K9" s="135">
        <f>SUM(K7:K8)</f>
        <v>25708.695</v>
      </c>
      <c r="L9" s="135">
        <f t="shared" ref="L9:V9" si="1">SUM(L7:L8)</f>
        <v>0</v>
      </c>
      <c r="M9" s="135">
        <f t="shared" si="1"/>
        <v>0</v>
      </c>
      <c r="N9" s="135">
        <f t="shared" si="1"/>
        <v>4417.5599999999995</v>
      </c>
      <c r="O9" s="135">
        <f t="shared" si="1"/>
        <v>-0.16</v>
      </c>
      <c r="P9" s="135">
        <f t="shared" si="1"/>
        <v>2956.5</v>
      </c>
      <c r="Q9" s="135">
        <f t="shared" si="1"/>
        <v>8373.9</v>
      </c>
      <c r="R9" s="135">
        <f>SUM(R7:R8)</f>
        <v>17334.795000000002</v>
      </c>
      <c r="S9" s="135">
        <f t="shared" si="1"/>
        <v>1186.72</v>
      </c>
      <c r="T9" s="135">
        <f t="shared" si="1"/>
        <v>5270.282475</v>
      </c>
      <c r="U9" s="135">
        <f t="shared" si="1"/>
        <v>514.18000000000006</v>
      </c>
      <c r="V9" s="135">
        <f t="shared" si="1"/>
        <v>6971.1824749999996</v>
      </c>
      <c r="X9" s="169"/>
    </row>
    <row r="10" spans="2:24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4" ht="18.75" x14ac:dyDescent="0.3">
      <c r="B11" s="138" t="s">
        <v>21</v>
      </c>
      <c r="C11" s="31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4" ht="21" x14ac:dyDescent="0.35">
      <c r="B12" s="102" t="s">
        <v>23</v>
      </c>
      <c r="C12" s="125" t="s">
        <v>191</v>
      </c>
      <c r="D12" s="102" t="s">
        <v>114</v>
      </c>
      <c r="E12" s="103">
        <v>13000</v>
      </c>
      <c r="F12" s="126">
        <v>15</v>
      </c>
      <c r="G12" s="178">
        <v>2223</v>
      </c>
      <c r="H12" s="103"/>
      <c r="I12" s="103"/>
      <c r="J12" s="103"/>
      <c r="K12" s="103">
        <f t="shared" ref="K12:K18" si="2">E12-I12</f>
        <v>13000</v>
      </c>
      <c r="L12" s="103">
        <v>0</v>
      </c>
      <c r="M12" s="103"/>
      <c r="N12" s="103">
        <v>2161.23</v>
      </c>
      <c r="O12" s="103">
        <v>-0.03</v>
      </c>
      <c r="P12" s="237">
        <f t="shared" ref="P12:P19" si="3">ROUND(E12*0.115,2)</f>
        <v>1495</v>
      </c>
      <c r="Q12" s="103">
        <f t="shared" ref="Q12:Q19" si="4">SUM(N12:P12)+G12</f>
        <v>5879.2</v>
      </c>
      <c r="R12" s="190">
        <f t="shared" ref="R12:R21" si="5">K12-Q12</f>
        <v>7120.8</v>
      </c>
      <c r="S12" s="29">
        <v>597.69499999999994</v>
      </c>
      <c r="T12" s="128">
        <f>ROUND(+E12*17.5%,2)+ROUND(E12*3%,2)</f>
        <v>2665</v>
      </c>
      <c r="U12" s="244">
        <f t="shared" ref="U12:U19" si="6">ROUND(+E12*2%,2)</f>
        <v>260</v>
      </c>
      <c r="V12" s="129">
        <f t="shared" ref="V12:V21" si="7">SUM(S12:U12)</f>
        <v>3522.6949999999997</v>
      </c>
      <c r="X12" s="169"/>
    </row>
    <row r="13" spans="2:24" ht="21" x14ac:dyDescent="0.35">
      <c r="B13" s="102" t="s">
        <v>24</v>
      </c>
      <c r="C13" s="125" t="s">
        <v>192</v>
      </c>
      <c r="D13" s="102" t="s">
        <v>116</v>
      </c>
      <c r="E13" s="103">
        <v>7000.8</v>
      </c>
      <c r="F13" s="126">
        <v>15</v>
      </c>
      <c r="G13" s="141"/>
      <c r="H13" s="103"/>
      <c r="I13" s="139"/>
      <c r="J13" s="140"/>
      <c r="K13" s="103">
        <f>E13-I13</f>
        <v>7000.8</v>
      </c>
      <c r="L13" s="103">
        <v>0</v>
      </c>
      <c r="M13" s="103"/>
      <c r="N13" s="103">
        <v>857.15</v>
      </c>
      <c r="O13" s="103">
        <v>0.05</v>
      </c>
      <c r="P13" s="141"/>
      <c r="Q13" s="103">
        <f t="shared" si="4"/>
        <v>857.19999999999993</v>
      </c>
      <c r="R13" s="190">
        <f t="shared" si="5"/>
        <v>6143.6</v>
      </c>
      <c r="S13" s="29">
        <v>419.125</v>
      </c>
      <c r="T13" s="128"/>
      <c r="U13" s="128"/>
      <c r="V13" s="129">
        <f t="shared" si="7"/>
        <v>419.125</v>
      </c>
      <c r="X13" s="169"/>
    </row>
    <row r="14" spans="2:24" ht="21" x14ac:dyDescent="0.35">
      <c r="B14" s="102" t="s">
        <v>25</v>
      </c>
      <c r="C14" s="30" t="s">
        <v>174</v>
      </c>
      <c r="D14" s="102" t="s">
        <v>115</v>
      </c>
      <c r="E14" s="103">
        <v>7000.8</v>
      </c>
      <c r="F14" s="126">
        <v>15</v>
      </c>
      <c r="G14" s="178">
        <v>1330.99</v>
      </c>
      <c r="H14" s="141"/>
      <c r="I14" s="139"/>
      <c r="J14" s="140"/>
      <c r="K14" s="103">
        <f>E14-I14</f>
        <v>7000.8</v>
      </c>
      <c r="L14" s="103">
        <v>0</v>
      </c>
      <c r="M14" s="103"/>
      <c r="N14" s="103">
        <v>857.15</v>
      </c>
      <c r="O14" s="103">
        <v>-0.03</v>
      </c>
      <c r="P14" s="237">
        <f>ROUND(E14*0.115,2)</f>
        <v>805.09</v>
      </c>
      <c r="Q14" s="103">
        <f>SUM(N14:P14)+G14</f>
        <v>2993.2</v>
      </c>
      <c r="R14" s="190">
        <f>K14-Q14</f>
        <v>4007.6000000000004</v>
      </c>
      <c r="S14" s="29">
        <v>419.125</v>
      </c>
      <c r="T14" s="128">
        <f t="shared" ref="T14:T19" si="8">ROUND(+E14*17.5%,2)+ROUND(E14*3%,2)</f>
        <v>1435.16</v>
      </c>
      <c r="U14" s="244">
        <f t="shared" si="6"/>
        <v>140.02000000000001</v>
      </c>
      <c r="V14" s="129">
        <f t="shared" si="7"/>
        <v>1994.3050000000001</v>
      </c>
      <c r="X14" s="169"/>
    </row>
    <row r="15" spans="2:24" ht="21" x14ac:dyDescent="0.35">
      <c r="B15" s="102" t="s">
        <v>26</v>
      </c>
      <c r="C15" s="30" t="s">
        <v>193</v>
      </c>
      <c r="D15" s="102" t="s">
        <v>37</v>
      </c>
      <c r="E15" s="103">
        <v>7443.8</v>
      </c>
      <c r="F15" s="126">
        <v>15</v>
      </c>
      <c r="G15" s="103"/>
      <c r="H15" s="103"/>
      <c r="I15" s="139">
        <v>7.77</v>
      </c>
      <c r="J15" s="103"/>
      <c r="K15" s="103">
        <f t="shared" si="2"/>
        <v>7436.03</v>
      </c>
      <c r="L15" s="103">
        <v>0</v>
      </c>
      <c r="M15" s="103"/>
      <c r="N15" s="103">
        <v>951.78</v>
      </c>
      <c r="O15" s="103">
        <v>0.05</v>
      </c>
      <c r="P15" s="141"/>
      <c r="Q15" s="103">
        <f t="shared" si="4"/>
        <v>951.82999999999993</v>
      </c>
      <c r="R15" s="190">
        <f t="shared" si="5"/>
        <v>6484.2</v>
      </c>
      <c r="S15" s="29">
        <v>432.30499999999995</v>
      </c>
      <c r="T15" s="128"/>
      <c r="U15" s="128"/>
      <c r="V15" s="129">
        <f t="shared" si="7"/>
        <v>432.30499999999995</v>
      </c>
      <c r="X15" s="169"/>
    </row>
    <row r="16" spans="2:24" ht="21" x14ac:dyDescent="0.35">
      <c r="B16" s="102" t="s">
        <v>27</v>
      </c>
      <c r="C16" s="125" t="s">
        <v>40</v>
      </c>
      <c r="D16" s="102" t="s">
        <v>117</v>
      </c>
      <c r="E16" s="103">
        <v>4918.3649999999998</v>
      </c>
      <c r="F16" s="126">
        <v>15</v>
      </c>
      <c r="G16" s="178">
        <v>2050</v>
      </c>
      <c r="H16" s="103"/>
      <c r="I16" s="139">
        <v>2.34</v>
      </c>
      <c r="J16" s="103"/>
      <c r="K16" s="103">
        <f>E16-I16</f>
        <v>4916.0249999999996</v>
      </c>
      <c r="L16" s="103">
        <v>0</v>
      </c>
      <c r="M16" s="103"/>
      <c r="N16" s="103">
        <v>447.61</v>
      </c>
      <c r="O16" s="103">
        <v>0.01</v>
      </c>
      <c r="P16" s="237">
        <f>ROUND(E16*0.115,2)</f>
        <v>565.61</v>
      </c>
      <c r="Q16" s="103">
        <f>SUM(N16:P16)+G16</f>
        <v>3063.23</v>
      </c>
      <c r="R16" s="190">
        <f t="shared" si="5"/>
        <v>1852.7949999999996</v>
      </c>
      <c r="S16" s="29">
        <v>361.11500000000001</v>
      </c>
      <c r="T16" s="128">
        <f t="shared" si="8"/>
        <v>1008.26</v>
      </c>
      <c r="U16" s="244">
        <f t="shared" si="6"/>
        <v>98.37</v>
      </c>
      <c r="V16" s="129">
        <f t="shared" si="7"/>
        <v>1467.7449999999999</v>
      </c>
      <c r="X16" s="169"/>
    </row>
    <row r="17" spans="2:24" ht="21" x14ac:dyDescent="0.35">
      <c r="B17" s="102" t="s">
        <v>60</v>
      </c>
      <c r="C17" s="125" t="s">
        <v>41</v>
      </c>
      <c r="D17" s="102" t="s">
        <v>118</v>
      </c>
      <c r="E17" s="103">
        <v>4918.3649999999998</v>
      </c>
      <c r="F17" s="126">
        <v>15</v>
      </c>
      <c r="G17" s="178">
        <v>1367</v>
      </c>
      <c r="H17" s="103"/>
      <c r="I17" s="139"/>
      <c r="J17" s="103"/>
      <c r="K17" s="103">
        <f>E17-I17</f>
        <v>4918.3649999999998</v>
      </c>
      <c r="L17" s="103">
        <v>0</v>
      </c>
      <c r="M17" s="103"/>
      <c r="N17" s="103">
        <v>447.61</v>
      </c>
      <c r="O17" s="103">
        <v>-0.05</v>
      </c>
      <c r="P17" s="237">
        <f t="shared" si="3"/>
        <v>565.61</v>
      </c>
      <c r="Q17" s="103">
        <f>SUM(N17:P17)+G17</f>
        <v>2380.17</v>
      </c>
      <c r="R17" s="190">
        <f>K17-Q17</f>
        <v>2538.1949999999997</v>
      </c>
      <c r="S17" s="29">
        <v>361.11500000000001</v>
      </c>
      <c r="T17" s="128">
        <f t="shared" si="8"/>
        <v>1008.26</v>
      </c>
      <c r="U17" s="244">
        <f t="shared" si="6"/>
        <v>98.37</v>
      </c>
      <c r="V17" s="129">
        <f t="shared" si="7"/>
        <v>1467.7449999999999</v>
      </c>
      <c r="X17" s="169"/>
    </row>
    <row r="18" spans="2:24" ht="21" x14ac:dyDescent="0.35">
      <c r="B18" s="102" t="s">
        <v>61</v>
      </c>
      <c r="C18" s="125" t="s">
        <v>43</v>
      </c>
      <c r="D18" s="102" t="s">
        <v>3</v>
      </c>
      <c r="E18" s="103">
        <v>4358.17</v>
      </c>
      <c r="F18" s="126">
        <v>15</v>
      </c>
      <c r="G18" s="178">
        <v>1927.08</v>
      </c>
      <c r="H18" s="103"/>
      <c r="I18" s="32">
        <v>1.38</v>
      </c>
      <c r="J18" s="103"/>
      <c r="K18" s="103">
        <f t="shared" si="2"/>
        <v>4356.79</v>
      </c>
      <c r="L18" s="103"/>
      <c r="M18" s="103"/>
      <c r="N18" s="103">
        <v>357.97</v>
      </c>
      <c r="O18" s="103">
        <v>-0.05</v>
      </c>
      <c r="P18" s="237">
        <f t="shared" si="3"/>
        <v>501.19</v>
      </c>
      <c r="Q18" s="103">
        <f t="shared" si="4"/>
        <v>2786.19</v>
      </c>
      <c r="R18" s="190">
        <f t="shared" si="5"/>
        <v>1570.6</v>
      </c>
      <c r="S18" s="29">
        <v>326.7</v>
      </c>
      <c r="T18" s="128">
        <f t="shared" si="8"/>
        <v>893.43</v>
      </c>
      <c r="U18" s="244">
        <f t="shared" si="6"/>
        <v>87.16</v>
      </c>
      <c r="V18" s="129">
        <f t="shared" si="7"/>
        <v>1307.29</v>
      </c>
      <c r="X18" s="169"/>
    </row>
    <row r="19" spans="2:24" ht="21" x14ac:dyDescent="0.35">
      <c r="B19" s="102" t="s">
        <v>62</v>
      </c>
      <c r="C19" s="125" t="s">
        <v>42</v>
      </c>
      <c r="D19" s="102" t="s">
        <v>119</v>
      </c>
      <c r="E19" s="103">
        <v>4918.3649999999998</v>
      </c>
      <c r="F19" s="126">
        <v>15</v>
      </c>
      <c r="G19" s="178">
        <v>1340.03</v>
      </c>
      <c r="H19" s="130"/>
      <c r="I19" s="139">
        <v>2.34</v>
      </c>
      <c r="J19" s="103"/>
      <c r="K19" s="103">
        <f>E19-I19+H19</f>
        <v>4916.0249999999996</v>
      </c>
      <c r="L19" s="103"/>
      <c r="M19" s="103"/>
      <c r="N19" s="103">
        <v>447.61</v>
      </c>
      <c r="O19" s="103">
        <v>-0.02</v>
      </c>
      <c r="P19" s="237">
        <f t="shared" si="3"/>
        <v>565.61</v>
      </c>
      <c r="Q19" s="103">
        <f t="shared" si="4"/>
        <v>2353.23</v>
      </c>
      <c r="R19" s="190">
        <f t="shared" si="5"/>
        <v>2562.7949999999996</v>
      </c>
      <c r="S19" s="29">
        <v>361.11500000000001</v>
      </c>
      <c r="T19" s="128">
        <f t="shared" si="8"/>
        <v>1008.26</v>
      </c>
      <c r="U19" s="244">
        <f t="shared" si="6"/>
        <v>98.37</v>
      </c>
      <c r="V19" s="129">
        <f t="shared" si="7"/>
        <v>1467.7449999999999</v>
      </c>
      <c r="X19" s="169"/>
    </row>
    <row r="20" spans="2:24" ht="21" x14ac:dyDescent="0.35">
      <c r="B20" s="158" t="s">
        <v>187</v>
      </c>
      <c r="C20" s="30" t="s">
        <v>199</v>
      </c>
      <c r="D20" s="158" t="s">
        <v>188</v>
      </c>
      <c r="E20" s="103">
        <v>4918.3649999999998</v>
      </c>
      <c r="F20" s="126">
        <v>15</v>
      </c>
      <c r="G20" s="141"/>
      <c r="H20" s="130"/>
      <c r="I20" s="139"/>
      <c r="J20" s="103"/>
      <c r="K20" s="103">
        <f>E20-I20+H20</f>
        <v>4918.3649999999998</v>
      </c>
      <c r="L20" s="103"/>
      <c r="M20" s="103"/>
      <c r="N20" s="103">
        <v>447.61</v>
      </c>
      <c r="O20" s="103">
        <v>0.16</v>
      </c>
      <c r="P20" s="141"/>
      <c r="Q20" s="103">
        <f t="shared" ref="Q20" si="9">SUM(N20:P20)+G20</f>
        <v>447.77000000000004</v>
      </c>
      <c r="R20" s="190">
        <f t="shared" si="5"/>
        <v>4470.5949999999993</v>
      </c>
      <c r="S20" s="29">
        <v>361.11500000000001</v>
      </c>
      <c r="T20" s="128"/>
      <c r="U20" s="128"/>
      <c r="V20" s="129">
        <f t="shared" si="7"/>
        <v>361.11500000000001</v>
      </c>
      <c r="X20" s="169"/>
    </row>
    <row r="21" spans="2:24" ht="21" x14ac:dyDescent="0.35">
      <c r="B21" s="158" t="s">
        <v>213</v>
      </c>
      <c r="C21" s="30" t="s">
        <v>214</v>
      </c>
      <c r="D21" s="158" t="s">
        <v>3</v>
      </c>
      <c r="E21" s="103">
        <v>4358.17</v>
      </c>
      <c r="F21" s="126">
        <v>15</v>
      </c>
      <c r="G21" s="141"/>
      <c r="H21" s="103"/>
      <c r="I21" s="32"/>
      <c r="J21" s="103"/>
      <c r="K21" s="103">
        <f t="shared" ref="K21" si="10">E21-I21</f>
        <v>4358.17</v>
      </c>
      <c r="L21" s="103"/>
      <c r="M21" s="103"/>
      <c r="N21" s="103">
        <v>357.97</v>
      </c>
      <c r="O21" s="103">
        <v>0</v>
      </c>
      <c r="P21" s="141"/>
      <c r="Q21" s="103">
        <f t="shared" ref="Q21" si="11">SUM(N21:P21)+G21</f>
        <v>357.97</v>
      </c>
      <c r="R21" s="190">
        <f t="shared" si="5"/>
        <v>4000.2</v>
      </c>
      <c r="S21" s="29">
        <v>326.7</v>
      </c>
      <c r="T21" s="128"/>
      <c r="U21" s="244"/>
      <c r="V21" s="129">
        <f t="shared" si="7"/>
        <v>326.7</v>
      </c>
      <c r="X21" s="169"/>
    </row>
    <row r="22" spans="2:24" ht="21" x14ac:dyDescent="0.35">
      <c r="B22" s="158" t="s">
        <v>215</v>
      </c>
      <c r="C22" s="30"/>
      <c r="D22" s="158"/>
      <c r="E22" s="103"/>
      <c r="F22" s="126"/>
      <c r="G22" s="141"/>
      <c r="H22" s="103"/>
      <c r="I22" s="32"/>
      <c r="J22" s="103"/>
      <c r="K22" s="103"/>
      <c r="L22" s="103"/>
      <c r="M22" s="103"/>
      <c r="N22" s="103"/>
      <c r="O22" s="103"/>
      <c r="P22" s="141"/>
      <c r="Q22" s="103"/>
      <c r="R22" s="190"/>
      <c r="S22" s="29"/>
      <c r="T22" s="128"/>
      <c r="U22" s="244"/>
      <c r="V22" s="129"/>
      <c r="X22" s="169"/>
    </row>
    <row r="23" spans="2:24" ht="18.75" x14ac:dyDescent="0.3">
      <c r="B23" s="138" t="s">
        <v>20</v>
      </c>
      <c r="C23" s="194"/>
      <c r="D23" s="133"/>
      <c r="E23" s="135">
        <f>SUM(E12:E20)</f>
        <v>58477.029999999992</v>
      </c>
      <c r="F23" s="135"/>
      <c r="G23" s="135">
        <f>+G20+G18+G17+G16+G12+G13+G14+G19</f>
        <v>10238.1</v>
      </c>
      <c r="H23" s="135"/>
      <c r="I23" s="135">
        <f t="shared" ref="I23:J23" si="12">SUM(I12:I20)</f>
        <v>13.829999999999998</v>
      </c>
      <c r="J23" s="135">
        <f t="shared" si="12"/>
        <v>0</v>
      </c>
      <c r="K23" s="135">
        <f>SUM(K12:K21)</f>
        <v>62821.369999999995</v>
      </c>
      <c r="L23" s="135">
        <f t="shared" ref="L23:V23" si="13">SUM(L12:L21)</f>
        <v>0</v>
      </c>
      <c r="M23" s="135">
        <f t="shared" si="13"/>
        <v>0</v>
      </c>
      <c r="N23" s="135">
        <f t="shared" si="13"/>
        <v>7333.69</v>
      </c>
      <c r="O23" s="135">
        <f t="shared" si="13"/>
        <v>9.0000000000000011E-2</v>
      </c>
      <c r="P23" s="135">
        <f t="shared" si="13"/>
        <v>4498.1100000000006</v>
      </c>
      <c r="Q23" s="135">
        <f t="shared" si="13"/>
        <v>22069.989999999998</v>
      </c>
      <c r="R23" s="135">
        <f>SUM(R12:R21)</f>
        <v>40751.37999999999</v>
      </c>
      <c r="S23" s="135">
        <f t="shared" si="13"/>
        <v>3966.1099999999988</v>
      </c>
      <c r="T23" s="135">
        <f t="shared" si="13"/>
        <v>8018.3700000000008</v>
      </c>
      <c r="U23" s="135">
        <f t="shared" si="13"/>
        <v>782.29</v>
      </c>
      <c r="V23" s="135">
        <f t="shared" si="13"/>
        <v>12766.769999999999</v>
      </c>
      <c r="X23" s="169"/>
    </row>
    <row r="24" spans="2:24" ht="18.75" hidden="1" x14ac:dyDescent="0.3">
      <c r="B24" s="138"/>
      <c r="C24" s="136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37"/>
      <c r="X24" s="169"/>
    </row>
    <row r="25" spans="2:24" ht="18.75" x14ac:dyDescent="0.3">
      <c r="B25" s="138" t="s">
        <v>31</v>
      </c>
      <c r="C25" s="31" t="s">
        <v>83</v>
      </c>
      <c r="E25" s="103"/>
      <c r="F25" s="103"/>
      <c r="G25" s="103"/>
      <c r="H25" s="103"/>
      <c r="I25" s="103"/>
      <c r="J25" s="103"/>
      <c r="K25" s="142"/>
      <c r="L25" s="142"/>
      <c r="M25" s="103"/>
      <c r="N25" s="103"/>
      <c r="O25" s="103"/>
      <c r="P25" s="103"/>
      <c r="Q25" s="103"/>
      <c r="R25" s="137"/>
      <c r="X25" s="169"/>
    </row>
    <row r="26" spans="2:24" ht="21" x14ac:dyDescent="0.35">
      <c r="B26" s="102" t="s">
        <v>63</v>
      </c>
      <c r="C26" s="125" t="s">
        <v>110</v>
      </c>
      <c r="D26" s="158" t="s">
        <v>132</v>
      </c>
      <c r="E26" s="103">
        <v>7000.8</v>
      </c>
      <c r="F26" s="126">
        <v>15</v>
      </c>
      <c r="G26" s="103"/>
      <c r="H26" s="103"/>
      <c r="I26" s="103"/>
      <c r="J26" s="103"/>
      <c r="K26" s="103">
        <f>E26-I26</f>
        <v>7000.8</v>
      </c>
      <c r="L26" s="103">
        <v>0</v>
      </c>
      <c r="M26" s="103"/>
      <c r="N26" s="103">
        <v>857.15</v>
      </c>
      <c r="O26" s="103">
        <v>-0.04</v>
      </c>
      <c r="P26" s="237">
        <f>ROUND(E26*0.115,2)</f>
        <v>805.09</v>
      </c>
      <c r="Q26" s="103">
        <f t="shared" ref="Q26:Q27" si="14">SUM(N26:P26)+G26</f>
        <v>1662.2</v>
      </c>
      <c r="R26" s="190">
        <f>K26-Q26</f>
        <v>5338.6</v>
      </c>
      <c r="S26" s="170">
        <v>419.125</v>
      </c>
      <c r="T26" s="128">
        <f t="shared" ref="T26:T29" si="15">ROUND(+E26*17.5%,2)+ROUND(E26*3%,2)</f>
        <v>1435.16</v>
      </c>
      <c r="U26" s="244">
        <f t="shared" ref="U26:U29" si="16">ROUND(+E26*2%,2)</f>
        <v>140.02000000000001</v>
      </c>
      <c r="V26" s="129">
        <f t="shared" ref="V26:V27" si="17">SUM(S26:U26)</f>
        <v>1994.3050000000001</v>
      </c>
      <c r="X26" s="169"/>
    </row>
    <row r="27" spans="2:24" ht="21" x14ac:dyDescent="0.35">
      <c r="B27" s="102" t="s">
        <v>112</v>
      </c>
      <c r="C27" s="125" t="s">
        <v>113</v>
      </c>
      <c r="D27" s="158" t="s">
        <v>133</v>
      </c>
      <c r="E27" s="103">
        <v>7000.8</v>
      </c>
      <c r="F27" s="126">
        <v>15</v>
      </c>
      <c r="G27" s="103"/>
      <c r="H27" s="103"/>
      <c r="I27" s="139">
        <v>9.99</v>
      </c>
      <c r="J27" s="103"/>
      <c r="K27" s="103">
        <f>E27-I27</f>
        <v>6990.81</v>
      </c>
      <c r="L27" s="103">
        <v>0</v>
      </c>
      <c r="M27" s="103"/>
      <c r="N27" s="103">
        <v>857.15</v>
      </c>
      <c r="O27" s="103">
        <v>-0.03</v>
      </c>
      <c r="P27" s="237">
        <f>ROUND(E27*0.115,2)</f>
        <v>805.09</v>
      </c>
      <c r="Q27" s="103">
        <f t="shared" si="14"/>
        <v>1662.21</v>
      </c>
      <c r="R27" s="190">
        <f>K27-Q27</f>
        <v>5328.6</v>
      </c>
      <c r="S27" s="170">
        <v>419.125</v>
      </c>
      <c r="T27" s="128">
        <f t="shared" si="15"/>
        <v>1435.16</v>
      </c>
      <c r="U27" s="244">
        <f t="shared" si="16"/>
        <v>140.02000000000001</v>
      </c>
      <c r="V27" s="129">
        <f t="shared" si="17"/>
        <v>1994.3050000000001</v>
      </c>
      <c r="X27" s="169"/>
    </row>
    <row r="28" spans="2:24" ht="21" x14ac:dyDescent="0.35">
      <c r="B28" s="102" t="s">
        <v>64</v>
      </c>
      <c r="C28" s="125" t="s">
        <v>45</v>
      </c>
      <c r="D28" s="102" t="s">
        <v>122</v>
      </c>
      <c r="E28" s="103">
        <v>7000.8</v>
      </c>
      <c r="F28" s="126">
        <v>15</v>
      </c>
      <c r="G28" s="141"/>
      <c r="H28" s="103"/>
      <c r="I28" s="143"/>
      <c r="J28" s="103"/>
      <c r="K28" s="103">
        <f>E28-I28</f>
        <v>7000.8</v>
      </c>
      <c r="L28" s="103">
        <v>0</v>
      </c>
      <c r="M28" s="103"/>
      <c r="N28" s="103">
        <v>857.15</v>
      </c>
      <c r="O28" s="103">
        <v>-0.04</v>
      </c>
      <c r="P28" s="237">
        <f>ROUND(E28*0.115,2)</f>
        <v>805.09</v>
      </c>
      <c r="Q28" s="103">
        <f>SUM(N28:P28)+G28</f>
        <v>1662.2</v>
      </c>
      <c r="R28" s="190">
        <f>K28-Q28</f>
        <v>5338.6</v>
      </c>
      <c r="S28" s="170">
        <v>419.125</v>
      </c>
      <c r="T28" s="128">
        <f t="shared" si="15"/>
        <v>1435.16</v>
      </c>
      <c r="U28" s="244">
        <f t="shared" si="16"/>
        <v>140.02000000000001</v>
      </c>
      <c r="V28" s="129">
        <f>SUM(S28:U28)</f>
        <v>1994.3050000000001</v>
      </c>
      <c r="X28" s="169"/>
    </row>
    <row r="29" spans="2:24" ht="21" x14ac:dyDescent="0.35">
      <c r="B29" s="102" t="s">
        <v>65</v>
      </c>
      <c r="C29" s="125" t="s">
        <v>59</v>
      </c>
      <c r="D29" s="158" t="s">
        <v>134</v>
      </c>
      <c r="E29" s="103">
        <v>7000.8</v>
      </c>
      <c r="F29" s="126">
        <v>15</v>
      </c>
      <c r="G29" s="141"/>
      <c r="H29" s="130"/>
      <c r="I29" s="130">
        <v>12.21</v>
      </c>
      <c r="J29" s="103"/>
      <c r="K29" s="103">
        <f>E29-I29+H29</f>
        <v>6988.59</v>
      </c>
      <c r="L29" s="103">
        <v>0</v>
      </c>
      <c r="M29" s="103"/>
      <c r="N29" s="103">
        <v>857.15</v>
      </c>
      <c r="O29" s="103">
        <v>-0.05</v>
      </c>
      <c r="P29" s="237">
        <f>ROUND(E29*0.115,2)</f>
        <v>805.09</v>
      </c>
      <c r="Q29" s="103">
        <f>SUM(N29:P29)+G29</f>
        <v>1662.19</v>
      </c>
      <c r="R29" s="190">
        <f>K29-Q29</f>
        <v>5326.4</v>
      </c>
      <c r="S29" s="170">
        <v>419.125</v>
      </c>
      <c r="T29" s="128">
        <f t="shared" si="15"/>
        <v>1435.16</v>
      </c>
      <c r="U29" s="244">
        <f t="shared" si="16"/>
        <v>140.02000000000001</v>
      </c>
      <c r="V29" s="129">
        <f>SUM(S29:U29)</f>
        <v>1994.3050000000001</v>
      </c>
      <c r="X29" s="169"/>
    </row>
    <row r="30" spans="2:24" ht="18.75" x14ac:dyDescent="0.3">
      <c r="B30" s="138" t="s">
        <v>20</v>
      </c>
      <c r="C30" s="132"/>
      <c r="D30" s="133"/>
      <c r="E30" s="135">
        <f>SUM(E26:E29)</f>
        <v>28003.200000000001</v>
      </c>
      <c r="F30" s="135"/>
      <c r="G30" s="135">
        <f>+G29+G28+G26+G27</f>
        <v>0</v>
      </c>
      <c r="H30" s="135"/>
      <c r="I30" s="135">
        <f>SUM(I26:I29)</f>
        <v>22.200000000000003</v>
      </c>
      <c r="J30" s="135">
        <f t="shared" ref="J30" si="18">SUM(J26:J29)</f>
        <v>0</v>
      </c>
      <c r="K30" s="135">
        <f>SUM(K26:K29)</f>
        <v>27981</v>
      </c>
      <c r="L30" s="135">
        <f t="shared" ref="L30:V30" si="19">SUM(L26:L29)</f>
        <v>0</v>
      </c>
      <c r="M30" s="135">
        <f t="shared" si="19"/>
        <v>0</v>
      </c>
      <c r="N30" s="135">
        <f t="shared" si="19"/>
        <v>3428.6</v>
      </c>
      <c r="O30" s="135">
        <f t="shared" si="19"/>
        <v>-0.16000000000000003</v>
      </c>
      <c r="P30" s="135">
        <f t="shared" si="19"/>
        <v>3220.36</v>
      </c>
      <c r="Q30" s="135">
        <f t="shared" si="19"/>
        <v>6648.7999999999993</v>
      </c>
      <c r="R30" s="135">
        <f>SUM(R26:R29)</f>
        <v>21332.2</v>
      </c>
      <c r="S30" s="135">
        <f t="shared" si="19"/>
        <v>1676.5</v>
      </c>
      <c r="T30" s="135">
        <f t="shared" si="19"/>
        <v>5740.64</v>
      </c>
      <c r="U30" s="135">
        <f t="shared" si="19"/>
        <v>560.08000000000004</v>
      </c>
      <c r="V30" s="135">
        <f t="shared" si="19"/>
        <v>7977.22</v>
      </c>
      <c r="X30" s="169"/>
    </row>
    <row r="31" spans="2:24" ht="18.75" hidden="1" x14ac:dyDescent="0.3">
      <c r="C31" s="136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37"/>
      <c r="X31" s="169"/>
    </row>
    <row r="32" spans="2:24" ht="18.75" x14ac:dyDescent="0.3">
      <c r="B32" s="138" t="s">
        <v>33</v>
      </c>
      <c r="C32" s="31" t="s">
        <v>32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37"/>
      <c r="X32" s="169"/>
    </row>
    <row r="33" spans="2:24" ht="21" x14ac:dyDescent="0.35">
      <c r="B33" s="102" t="s">
        <v>66</v>
      </c>
      <c r="C33" s="125" t="s">
        <v>49</v>
      </c>
      <c r="D33" s="158" t="s">
        <v>128</v>
      </c>
      <c r="E33" s="103">
        <v>7000.8</v>
      </c>
      <c r="F33" s="126">
        <v>15</v>
      </c>
      <c r="G33" s="103"/>
      <c r="H33" s="103"/>
      <c r="I33" s="144"/>
      <c r="J33" s="103"/>
      <c r="K33" s="103">
        <f t="shared" ref="K33:K47" si="20">E33-I33</f>
        <v>7000.8</v>
      </c>
      <c r="L33" s="103">
        <v>0</v>
      </c>
      <c r="M33" s="103"/>
      <c r="N33" s="103">
        <v>857.15</v>
      </c>
      <c r="O33" s="103">
        <v>-0.04</v>
      </c>
      <c r="P33" s="237">
        <f>ROUND(E33*0.115,2)</f>
        <v>805.09</v>
      </c>
      <c r="Q33" s="103">
        <f t="shared" ref="Q33:Q40" si="21">SUM(N33:P33)+G33</f>
        <v>1662.2</v>
      </c>
      <c r="R33" s="190">
        <f t="shared" ref="R33:R47" si="22">K33-Q33</f>
        <v>5338.6</v>
      </c>
      <c r="S33" s="170">
        <v>419.125</v>
      </c>
      <c r="T33" s="128">
        <f t="shared" ref="T33:T41" si="23">ROUND(+E33*17.5%,2)+ROUND(E33*3%,2)</f>
        <v>1435.16</v>
      </c>
      <c r="U33" s="244">
        <f t="shared" ref="U33:U41" si="24">ROUND(+E33*2%,2)</f>
        <v>140.02000000000001</v>
      </c>
      <c r="V33" s="129">
        <f>SUM(S33:U33)</f>
        <v>1994.3050000000001</v>
      </c>
      <c r="X33" s="169"/>
    </row>
    <row r="34" spans="2:24" ht="21" x14ac:dyDescent="0.35">
      <c r="B34" s="102" t="s">
        <v>67</v>
      </c>
      <c r="C34" s="125" t="s">
        <v>51</v>
      </c>
      <c r="D34" s="158" t="s">
        <v>135</v>
      </c>
      <c r="E34" s="103">
        <v>7000.8</v>
      </c>
      <c r="F34" s="126">
        <v>15</v>
      </c>
      <c r="G34" s="178">
        <v>1556</v>
      </c>
      <c r="H34" s="103"/>
      <c r="I34" s="130"/>
      <c r="J34" s="141"/>
      <c r="K34" s="141">
        <f t="shared" si="20"/>
        <v>7000.8</v>
      </c>
      <c r="L34" s="141">
        <v>0</v>
      </c>
      <c r="M34" s="103"/>
      <c r="N34" s="103">
        <v>857.15</v>
      </c>
      <c r="O34" s="103">
        <v>-0.04</v>
      </c>
      <c r="P34" s="237">
        <f t="shared" ref="P34:P41" si="25">ROUND(E34*0.115,2)</f>
        <v>805.09</v>
      </c>
      <c r="Q34" s="103">
        <f>SUM(N34:P34)+G34</f>
        <v>3218.2</v>
      </c>
      <c r="R34" s="190">
        <f t="shared" si="22"/>
        <v>3782.6000000000004</v>
      </c>
      <c r="S34" s="170">
        <v>419.125</v>
      </c>
      <c r="T34" s="128">
        <f t="shared" si="23"/>
        <v>1435.16</v>
      </c>
      <c r="U34" s="244">
        <f t="shared" si="24"/>
        <v>140.02000000000001</v>
      </c>
      <c r="V34" s="129">
        <f>SUM(S34:U34)</f>
        <v>1994.3050000000001</v>
      </c>
      <c r="X34" s="169"/>
    </row>
    <row r="35" spans="2:24" ht="21" x14ac:dyDescent="0.35">
      <c r="B35" s="102" t="s">
        <v>68</v>
      </c>
      <c r="C35" s="30" t="s">
        <v>194</v>
      </c>
      <c r="D35" s="102" t="s">
        <v>123</v>
      </c>
      <c r="E35" s="103">
        <v>7443.8</v>
      </c>
      <c r="F35" s="126">
        <v>15</v>
      </c>
      <c r="G35" s="103"/>
      <c r="H35" s="103"/>
      <c r="I35" s="130"/>
      <c r="J35" s="103"/>
      <c r="K35" s="103">
        <f t="shared" si="20"/>
        <v>7443.8</v>
      </c>
      <c r="L35" s="103">
        <v>0</v>
      </c>
      <c r="M35" s="103"/>
      <c r="N35" s="103">
        <v>951.78</v>
      </c>
      <c r="O35" s="103">
        <v>0.02</v>
      </c>
      <c r="P35" s="141"/>
      <c r="Q35" s="103">
        <f t="shared" si="21"/>
        <v>951.8</v>
      </c>
      <c r="R35" s="190">
        <f t="shared" si="22"/>
        <v>6492</v>
      </c>
      <c r="S35" s="170">
        <v>432.30499999999995</v>
      </c>
      <c r="T35" s="128"/>
      <c r="U35" s="128"/>
      <c r="V35" s="129">
        <f t="shared" ref="V35:V43" si="26">SUM(S35:U35)</f>
        <v>432.30499999999995</v>
      </c>
      <c r="X35" s="169"/>
    </row>
    <row r="36" spans="2:24" ht="21" x14ac:dyDescent="0.35">
      <c r="B36" s="102" t="s">
        <v>77</v>
      </c>
      <c r="C36" s="125" t="s">
        <v>111</v>
      </c>
      <c r="D36" s="102" t="s">
        <v>127</v>
      </c>
      <c r="E36" s="103">
        <v>7000.8</v>
      </c>
      <c r="F36" s="126">
        <v>15</v>
      </c>
      <c r="G36" s="178">
        <v>1167</v>
      </c>
      <c r="H36" s="103"/>
      <c r="I36" s="144"/>
      <c r="J36" s="103"/>
      <c r="K36" s="103">
        <f>E36-I36</f>
        <v>7000.8</v>
      </c>
      <c r="L36" s="103">
        <v>0</v>
      </c>
      <c r="M36" s="103"/>
      <c r="N36" s="103">
        <v>857.15</v>
      </c>
      <c r="O36" s="103">
        <v>-0.04</v>
      </c>
      <c r="P36" s="237">
        <f t="shared" si="25"/>
        <v>805.09</v>
      </c>
      <c r="Q36" s="103">
        <f>SUM(N36:P36)+G36</f>
        <v>2829.2</v>
      </c>
      <c r="R36" s="190">
        <f>K36-Q36</f>
        <v>4171.6000000000004</v>
      </c>
      <c r="S36" s="170">
        <v>419.125</v>
      </c>
      <c r="T36" s="128">
        <f t="shared" si="23"/>
        <v>1435.16</v>
      </c>
      <c r="U36" s="244">
        <f t="shared" si="24"/>
        <v>140.02000000000001</v>
      </c>
      <c r="V36" s="129">
        <f t="shared" si="26"/>
        <v>1994.3050000000001</v>
      </c>
      <c r="X36" s="169"/>
    </row>
    <row r="37" spans="2:24" ht="21" x14ac:dyDescent="0.35">
      <c r="B37" s="102" t="s">
        <v>70</v>
      </c>
      <c r="C37" s="125" t="s">
        <v>46</v>
      </c>
      <c r="D37" s="102" t="s">
        <v>124</v>
      </c>
      <c r="E37" s="103">
        <v>7000.8</v>
      </c>
      <c r="F37" s="126">
        <v>15</v>
      </c>
      <c r="G37" s="178">
        <v>1945</v>
      </c>
      <c r="H37" s="103"/>
      <c r="I37" s="139"/>
      <c r="J37" s="141"/>
      <c r="K37" s="141">
        <f t="shared" si="20"/>
        <v>7000.8</v>
      </c>
      <c r="L37" s="141">
        <v>0</v>
      </c>
      <c r="M37" s="103"/>
      <c r="N37" s="103">
        <v>857.15</v>
      </c>
      <c r="O37" s="103">
        <v>-0.04</v>
      </c>
      <c r="P37" s="237">
        <f t="shared" si="25"/>
        <v>805.09</v>
      </c>
      <c r="Q37" s="103">
        <f t="shared" si="21"/>
        <v>3607.2</v>
      </c>
      <c r="R37" s="190">
        <f t="shared" si="22"/>
        <v>3393.6000000000004</v>
      </c>
      <c r="S37" s="170">
        <v>419.125</v>
      </c>
      <c r="T37" s="128">
        <f t="shared" si="23"/>
        <v>1435.16</v>
      </c>
      <c r="U37" s="244">
        <f t="shared" si="24"/>
        <v>140.02000000000001</v>
      </c>
      <c r="V37" s="129">
        <f t="shared" si="26"/>
        <v>1994.3050000000001</v>
      </c>
      <c r="X37" s="169"/>
    </row>
    <row r="38" spans="2:24" ht="21" x14ac:dyDescent="0.35">
      <c r="B38" s="102" t="s">
        <v>71</v>
      </c>
      <c r="C38" s="125" t="s">
        <v>50</v>
      </c>
      <c r="D38" s="102" t="s">
        <v>124</v>
      </c>
      <c r="E38" s="103">
        <v>7000.8</v>
      </c>
      <c r="F38" s="126">
        <v>15</v>
      </c>
      <c r="G38" s="178">
        <v>2917</v>
      </c>
      <c r="H38" s="141"/>
      <c r="I38" s="130"/>
      <c r="J38" s="141"/>
      <c r="K38" s="141">
        <f t="shared" si="20"/>
        <v>7000.8</v>
      </c>
      <c r="L38" s="141">
        <v>0</v>
      </c>
      <c r="M38" s="103"/>
      <c r="N38" s="103">
        <v>857.15</v>
      </c>
      <c r="O38" s="103">
        <v>-0.04</v>
      </c>
      <c r="P38" s="237">
        <f t="shared" si="25"/>
        <v>805.09</v>
      </c>
      <c r="Q38" s="103">
        <f t="shared" si="21"/>
        <v>4579.2</v>
      </c>
      <c r="R38" s="190">
        <f t="shared" si="22"/>
        <v>2421.6000000000004</v>
      </c>
      <c r="S38" s="170">
        <v>419.125</v>
      </c>
      <c r="T38" s="128">
        <f t="shared" si="23"/>
        <v>1435.16</v>
      </c>
      <c r="U38" s="244">
        <f t="shared" si="24"/>
        <v>140.02000000000001</v>
      </c>
      <c r="V38" s="129">
        <f t="shared" si="26"/>
        <v>1994.3050000000001</v>
      </c>
      <c r="X38" s="169"/>
    </row>
    <row r="39" spans="2:24" ht="21" x14ac:dyDescent="0.35">
      <c r="B39" s="102" t="s">
        <v>72</v>
      </c>
      <c r="C39" s="30" t="s">
        <v>195</v>
      </c>
      <c r="D39" s="102" t="s">
        <v>124</v>
      </c>
      <c r="E39" s="103">
        <v>7000.8</v>
      </c>
      <c r="F39" s="126">
        <v>15</v>
      </c>
      <c r="G39" s="103"/>
      <c r="H39" s="103"/>
      <c r="I39" s="139"/>
      <c r="J39" s="141"/>
      <c r="K39" s="141">
        <f t="shared" si="20"/>
        <v>7000.8</v>
      </c>
      <c r="L39" s="141">
        <v>0</v>
      </c>
      <c r="M39" s="103"/>
      <c r="N39" s="103">
        <v>857.15</v>
      </c>
      <c r="O39" s="103">
        <v>0.05</v>
      </c>
      <c r="P39" s="141"/>
      <c r="Q39" s="103">
        <f t="shared" si="21"/>
        <v>857.19999999999993</v>
      </c>
      <c r="R39" s="190">
        <f t="shared" si="22"/>
        <v>6143.6</v>
      </c>
      <c r="S39" s="170">
        <v>419.125</v>
      </c>
      <c r="T39" s="128"/>
      <c r="U39" s="128"/>
      <c r="V39" s="129">
        <f t="shared" si="26"/>
        <v>419.125</v>
      </c>
      <c r="X39" s="169"/>
    </row>
    <row r="40" spans="2:24" s="162" customFormat="1" ht="21" x14ac:dyDescent="0.35">
      <c r="B40" s="7" t="s">
        <v>73</v>
      </c>
      <c r="C40" s="30" t="s">
        <v>47</v>
      </c>
      <c r="D40" s="7" t="s">
        <v>125</v>
      </c>
      <c r="E40" s="103">
        <v>7000.8</v>
      </c>
      <c r="F40" s="126">
        <v>15</v>
      </c>
      <c r="G40" s="103"/>
      <c r="H40" s="103"/>
      <c r="I40" s="139"/>
      <c r="J40" s="141"/>
      <c r="K40" s="141">
        <f t="shared" si="20"/>
        <v>7000.8</v>
      </c>
      <c r="L40" s="141">
        <v>0</v>
      </c>
      <c r="M40" s="103"/>
      <c r="N40" s="103">
        <v>857.15</v>
      </c>
      <c r="O40" s="103">
        <v>-0.04</v>
      </c>
      <c r="P40" s="237">
        <f t="shared" si="25"/>
        <v>805.09</v>
      </c>
      <c r="Q40" s="103">
        <f t="shared" si="21"/>
        <v>1662.2</v>
      </c>
      <c r="R40" s="190">
        <f t="shared" si="22"/>
        <v>5338.6</v>
      </c>
      <c r="S40" s="170">
        <v>419.125</v>
      </c>
      <c r="T40" s="128">
        <f t="shared" si="23"/>
        <v>1435.16</v>
      </c>
      <c r="U40" s="244">
        <f t="shared" si="24"/>
        <v>140.02000000000001</v>
      </c>
      <c r="V40" s="129">
        <f t="shared" si="26"/>
        <v>1994.3050000000001</v>
      </c>
      <c r="X40" s="128"/>
    </row>
    <row r="41" spans="2:24" ht="21" x14ac:dyDescent="0.35">
      <c r="B41" s="102" t="s">
        <v>74</v>
      </c>
      <c r="C41" s="125" t="s">
        <v>53</v>
      </c>
      <c r="D41" s="102" t="s">
        <v>125</v>
      </c>
      <c r="E41" s="103">
        <v>7000.8</v>
      </c>
      <c r="F41" s="126">
        <v>15</v>
      </c>
      <c r="G41" s="141"/>
      <c r="H41" s="103"/>
      <c r="I41" s="139"/>
      <c r="J41" s="103"/>
      <c r="K41" s="103">
        <f t="shared" si="20"/>
        <v>7000.8</v>
      </c>
      <c r="L41" s="103">
        <v>0</v>
      </c>
      <c r="M41" s="103"/>
      <c r="N41" s="103">
        <v>857.15</v>
      </c>
      <c r="O41" s="103">
        <v>-0.04</v>
      </c>
      <c r="P41" s="237">
        <f t="shared" si="25"/>
        <v>805.09</v>
      </c>
      <c r="Q41" s="103">
        <f>SUM(N41:P41)+G41</f>
        <v>1662.2</v>
      </c>
      <c r="R41" s="190">
        <f t="shared" si="22"/>
        <v>5338.6</v>
      </c>
      <c r="S41" s="170">
        <v>419.125</v>
      </c>
      <c r="T41" s="128">
        <f t="shared" si="23"/>
        <v>1435.16</v>
      </c>
      <c r="U41" s="244">
        <f t="shared" si="24"/>
        <v>140.02000000000001</v>
      </c>
      <c r="V41" s="129">
        <f t="shared" si="26"/>
        <v>1994.3050000000001</v>
      </c>
      <c r="X41" s="169"/>
    </row>
    <row r="42" spans="2:24" ht="21" x14ac:dyDescent="0.35">
      <c r="B42" s="102" t="s">
        <v>75</v>
      </c>
      <c r="C42" s="30" t="s">
        <v>203</v>
      </c>
      <c r="D42" s="102" t="s">
        <v>126</v>
      </c>
      <c r="E42" s="103">
        <v>7000.8</v>
      </c>
      <c r="F42" s="126">
        <v>15</v>
      </c>
      <c r="G42" s="141"/>
      <c r="H42" s="103"/>
      <c r="I42" s="144"/>
      <c r="J42" s="103"/>
      <c r="K42" s="103">
        <f t="shared" si="20"/>
        <v>7000.8</v>
      </c>
      <c r="L42" s="103">
        <v>0</v>
      </c>
      <c r="M42" s="103"/>
      <c r="N42" s="103">
        <v>857.15</v>
      </c>
      <c r="O42" s="103">
        <v>0.05</v>
      </c>
      <c r="P42" s="141"/>
      <c r="Q42" s="103">
        <f>SUM(N42:P42)+G42</f>
        <v>857.19999999999993</v>
      </c>
      <c r="R42" s="190">
        <f t="shared" si="22"/>
        <v>6143.6</v>
      </c>
      <c r="S42" s="170">
        <v>419.125</v>
      </c>
      <c r="T42" s="128"/>
      <c r="U42" s="128"/>
      <c r="V42" s="129">
        <f t="shared" si="26"/>
        <v>419.125</v>
      </c>
      <c r="X42" s="169"/>
    </row>
    <row r="43" spans="2:24" ht="21" x14ac:dyDescent="0.35">
      <c r="B43" s="102" t="s">
        <v>76</v>
      </c>
      <c r="C43" s="30" t="s">
        <v>205</v>
      </c>
      <c r="D43" s="102" t="s">
        <v>126</v>
      </c>
      <c r="E43" s="103">
        <v>7000.8</v>
      </c>
      <c r="F43" s="126">
        <v>15</v>
      </c>
      <c r="G43" s="141"/>
      <c r="H43" s="103"/>
      <c r="I43" s="144"/>
      <c r="J43" s="103"/>
      <c r="K43" s="103">
        <f t="shared" si="20"/>
        <v>7000.8</v>
      </c>
      <c r="L43" s="103">
        <v>0</v>
      </c>
      <c r="M43" s="103"/>
      <c r="N43" s="103">
        <v>857.15</v>
      </c>
      <c r="O43" s="103">
        <v>0.05</v>
      </c>
      <c r="P43" s="141"/>
      <c r="Q43" s="103">
        <f>SUM(N43:P43)+G43</f>
        <v>857.19999999999993</v>
      </c>
      <c r="R43" s="190">
        <f t="shared" si="22"/>
        <v>6143.6</v>
      </c>
      <c r="S43" s="170">
        <v>419.125</v>
      </c>
      <c r="T43" s="128"/>
      <c r="U43" s="128"/>
      <c r="V43" s="129">
        <f t="shared" si="26"/>
        <v>419.125</v>
      </c>
      <c r="X43" s="169"/>
    </row>
    <row r="44" spans="2:24" ht="21" x14ac:dyDescent="0.35">
      <c r="B44" s="158" t="s">
        <v>150</v>
      </c>
      <c r="C44" s="30" t="s">
        <v>171</v>
      </c>
      <c r="D44" s="158" t="s">
        <v>109</v>
      </c>
      <c r="E44" s="103">
        <v>7000.8</v>
      </c>
      <c r="F44" s="126">
        <v>15</v>
      </c>
      <c r="G44" s="141"/>
      <c r="H44" s="103"/>
      <c r="I44" s="144"/>
      <c r="J44" s="103"/>
      <c r="K44" s="103">
        <f t="shared" si="20"/>
        <v>7000.8</v>
      </c>
      <c r="L44" s="103">
        <v>0</v>
      </c>
      <c r="M44" s="103"/>
      <c r="N44" s="103">
        <v>857.15</v>
      </c>
      <c r="O44" s="103">
        <v>-0.15</v>
      </c>
      <c r="P44" s="141"/>
      <c r="Q44" s="103">
        <f t="shared" ref="Q44:Q47" si="27">SUM(N44:P44)+G44</f>
        <v>857</v>
      </c>
      <c r="R44" s="190">
        <f t="shared" si="22"/>
        <v>6143.8</v>
      </c>
      <c r="S44" s="170">
        <v>419.125</v>
      </c>
      <c r="T44" s="128"/>
      <c r="U44" s="128"/>
      <c r="V44" s="129">
        <f t="shared" ref="V44:V47" si="28">SUM(S44:U44)</f>
        <v>419.125</v>
      </c>
      <c r="X44" s="169"/>
    </row>
    <row r="45" spans="2:24" ht="21" x14ac:dyDescent="0.35">
      <c r="B45" s="158" t="s">
        <v>151</v>
      </c>
      <c r="C45" s="30" t="s">
        <v>172</v>
      </c>
      <c r="D45" s="158" t="s">
        <v>109</v>
      </c>
      <c r="E45" s="103">
        <v>7000.8</v>
      </c>
      <c r="F45" s="126">
        <v>15</v>
      </c>
      <c r="G45" s="141"/>
      <c r="H45" s="103"/>
      <c r="I45" s="144"/>
      <c r="J45" s="103"/>
      <c r="K45" s="103">
        <f t="shared" si="20"/>
        <v>7000.8</v>
      </c>
      <c r="L45" s="103">
        <v>0</v>
      </c>
      <c r="M45" s="103"/>
      <c r="N45" s="103">
        <v>857.15</v>
      </c>
      <c r="O45" s="103">
        <v>0.13</v>
      </c>
      <c r="P45" s="237">
        <v>805.12</v>
      </c>
      <c r="Q45" s="103">
        <f>SUM(N45:P45)+G45</f>
        <v>1662.4</v>
      </c>
      <c r="R45" s="190">
        <f t="shared" ref="R45" si="29">K45-Q45</f>
        <v>5338.4</v>
      </c>
      <c r="S45" s="170">
        <v>419.125</v>
      </c>
      <c r="T45" s="128">
        <f t="shared" ref="T45" si="30">ROUND(+E45*17.5%,2)+ROUND(E45*3%,2)</f>
        <v>1435.16</v>
      </c>
      <c r="U45" s="244">
        <f t="shared" ref="U45" si="31">ROUND(+E45*2%,2)</f>
        <v>140.02000000000001</v>
      </c>
      <c r="V45" s="129">
        <f t="shared" ref="V45" si="32">SUM(S45:U45)</f>
        <v>1994.3050000000001</v>
      </c>
      <c r="X45" s="169"/>
    </row>
    <row r="46" spans="2:24" ht="21" x14ac:dyDescent="0.35">
      <c r="B46" s="158" t="s">
        <v>152</v>
      </c>
      <c r="C46" s="30" t="s">
        <v>173</v>
      </c>
      <c r="D46" s="158" t="s">
        <v>109</v>
      </c>
      <c r="E46" s="103">
        <v>7000.8</v>
      </c>
      <c r="F46" s="126">
        <v>14</v>
      </c>
      <c r="G46" s="141"/>
      <c r="H46" s="103"/>
      <c r="I46" s="144">
        <v>466.72</v>
      </c>
      <c r="J46" s="103"/>
      <c r="K46" s="103">
        <f t="shared" si="20"/>
        <v>6534.08</v>
      </c>
      <c r="L46" s="103">
        <v>0</v>
      </c>
      <c r="M46" s="103"/>
      <c r="N46" s="103">
        <v>857.15</v>
      </c>
      <c r="O46" s="103">
        <v>0.01</v>
      </c>
      <c r="P46" s="237">
        <v>805.12</v>
      </c>
      <c r="Q46" s="103">
        <f>SUM(N46:P46)+G46</f>
        <v>1662.28</v>
      </c>
      <c r="R46" s="190">
        <f t="shared" ref="R46" si="33">K46-Q46</f>
        <v>4871.8</v>
      </c>
      <c r="S46" s="170">
        <v>419.125</v>
      </c>
      <c r="T46" s="128">
        <f t="shared" ref="T46" si="34">ROUND(+E46*17.5%,2)+ROUND(E46*3%,2)</f>
        <v>1435.16</v>
      </c>
      <c r="U46" s="244">
        <f t="shared" ref="U46" si="35">ROUND(+E46*2%,2)</f>
        <v>140.02000000000001</v>
      </c>
      <c r="V46" s="129">
        <f t="shared" ref="V46" si="36">SUM(S46:U46)</f>
        <v>1994.3050000000001</v>
      </c>
      <c r="X46" s="169"/>
    </row>
    <row r="47" spans="2:24" ht="21" x14ac:dyDescent="0.35">
      <c r="B47" s="158" t="s">
        <v>198</v>
      </c>
      <c r="C47" s="30" t="s">
        <v>48</v>
      </c>
      <c r="D47" s="158" t="s">
        <v>109</v>
      </c>
      <c r="E47" s="103">
        <v>7000.8</v>
      </c>
      <c r="F47" s="126">
        <v>15</v>
      </c>
      <c r="G47" s="141"/>
      <c r="H47" s="103"/>
      <c r="I47" s="144">
        <v>3.33</v>
      </c>
      <c r="J47" s="103"/>
      <c r="K47" s="103">
        <f t="shared" si="20"/>
        <v>6997.47</v>
      </c>
      <c r="L47" s="103">
        <v>0</v>
      </c>
      <c r="M47" s="103"/>
      <c r="N47" s="103">
        <v>857.15</v>
      </c>
      <c r="O47" s="103">
        <v>0.03</v>
      </c>
      <c r="P47" s="237">
        <f t="shared" ref="P47" si="37">ROUND(E47*0.115,2)</f>
        <v>805.09</v>
      </c>
      <c r="Q47" s="103">
        <f t="shared" si="27"/>
        <v>1662.27</v>
      </c>
      <c r="R47" s="190">
        <f t="shared" si="22"/>
        <v>5335.2000000000007</v>
      </c>
      <c r="S47" s="170">
        <v>419.125</v>
      </c>
      <c r="T47" s="128">
        <f t="shared" ref="T47" si="38">ROUND(+E47*17.5%,2)+ROUND(E47*3%,2)</f>
        <v>1435.16</v>
      </c>
      <c r="U47" s="244">
        <f t="shared" ref="U47" si="39">ROUND(+E47*2%,2)</f>
        <v>140.02000000000001</v>
      </c>
      <c r="V47" s="129">
        <f t="shared" si="28"/>
        <v>1994.3050000000001</v>
      </c>
      <c r="X47" s="169"/>
    </row>
    <row r="48" spans="2:24" ht="21" x14ac:dyDescent="0.35">
      <c r="B48" s="158" t="s">
        <v>208</v>
      </c>
      <c r="C48" s="30" t="s">
        <v>211</v>
      </c>
      <c r="D48" s="158" t="s">
        <v>109</v>
      </c>
      <c r="E48" s="103">
        <v>7000.8</v>
      </c>
      <c r="F48" s="126">
        <v>15</v>
      </c>
      <c r="G48" s="103"/>
      <c r="H48" s="103"/>
      <c r="I48" s="139"/>
      <c r="J48" s="141"/>
      <c r="K48" s="141">
        <f t="shared" ref="K48" si="40">E48-I48</f>
        <v>7000.8</v>
      </c>
      <c r="L48" s="141">
        <v>0</v>
      </c>
      <c r="M48" s="103"/>
      <c r="N48" s="103">
        <v>857.15</v>
      </c>
      <c r="O48" s="103">
        <v>-0.15</v>
      </c>
      <c r="P48" s="141"/>
      <c r="Q48" s="103">
        <f t="shared" ref="Q48" si="41">SUM(N48:P48)+G48</f>
        <v>857</v>
      </c>
      <c r="R48" s="190">
        <f t="shared" ref="R48" si="42">K48-Q48</f>
        <v>6143.8</v>
      </c>
      <c r="S48" s="170">
        <v>419.125</v>
      </c>
      <c r="T48" s="128"/>
      <c r="U48" s="128"/>
      <c r="V48" s="129">
        <f t="shared" ref="V48" si="43">SUM(S48:U48)</f>
        <v>419.125</v>
      </c>
      <c r="X48" s="169"/>
    </row>
    <row r="49" spans="1:24" ht="21" x14ac:dyDescent="0.35">
      <c r="B49" s="158" t="s">
        <v>209</v>
      </c>
      <c r="C49" s="30" t="s">
        <v>212</v>
      </c>
      <c r="D49" s="158" t="s">
        <v>210</v>
      </c>
      <c r="E49" s="103">
        <v>4358.17</v>
      </c>
      <c r="F49" s="126">
        <v>15</v>
      </c>
      <c r="G49" s="141"/>
      <c r="H49" s="103"/>
      <c r="I49" s="32"/>
      <c r="J49" s="103"/>
      <c r="K49" s="103">
        <f t="shared" ref="K49" si="44">E49-I49</f>
        <v>4358.17</v>
      </c>
      <c r="L49" s="103"/>
      <c r="M49" s="103"/>
      <c r="N49" s="103">
        <v>357.97</v>
      </c>
      <c r="O49" s="103">
        <v>0</v>
      </c>
      <c r="P49" s="141"/>
      <c r="Q49" s="103">
        <f t="shared" ref="Q49" si="45">SUM(N49:P49)+G49</f>
        <v>357.97</v>
      </c>
      <c r="R49" s="190">
        <f t="shared" ref="R49" si="46">K49-Q49</f>
        <v>4000.2</v>
      </c>
      <c r="S49" s="29">
        <v>326.7</v>
      </c>
      <c r="T49" s="128"/>
      <c r="U49" s="244"/>
      <c r="V49" s="129">
        <f t="shared" ref="V49" si="47">SUM(S49:U49)</f>
        <v>326.7</v>
      </c>
      <c r="X49" s="169"/>
    </row>
    <row r="50" spans="1:24" ht="18.75" x14ac:dyDescent="0.3">
      <c r="B50" s="138" t="s">
        <v>20</v>
      </c>
      <c r="C50" s="132"/>
      <c r="D50" s="133"/>
      <c r="E50" s="135">
        <f t="shared" ref="E50:J50" si="48">SUM(E33:E47)</f>
        <v>105455.00000000003</v>
      </c>
      <c r="F50" s="135">
        <f t="shared" si="48"/>
        <v>224</v>
      </c>
      <c r="G50" s="135">
        <f>SUM(G33:G49)</f>
        <v>7585</v>
      </c>
      <c r="H50" s="135">
        <f t="shared" si="48"/>
        <v>0</v>
      </c>
      <c r="I50" s="135">
        <f>SUM(I33:J49)</f>
        <v>470.05</v>
      </c>
      <c r="J50" s="135">
        <f t="shared" si="48"/>
        <v>0</v>
      </c>
      <c r="K50" s="135">
        <f>SUM(K33:K49)</f>
        <v>116343.92000000003</v>
      </c>
      <c r="L50" s="135">
        <f t="shared" ref="L50:V50" si="49">SUM(L33:L49)</f>
        <v>0</v>
      </c>
      <c r="M50" s="135">
        <f t="shared" si="49"/>
        <v>0</v>
      </c>
      <c r="N50" s="135">
        <f t="shared" si="49"/>
        <v>14166.999999999996</v>
      </c>
      <c r="O50" s="135">
        <f t="shared" si="49"/>
        <v>-0.24</v>
      </c>
      <c r="P50" s="135">
        <f t="shared" si="49"/>
        <v>8050.96</v>
      </c>
      <c r="Q50" s="135">
        <f t="shared" si="49"/>
        <v>29802.720000000005</v>
      </c>
      <c r="R50" s="135">
        <f>SUM(R33:R49)</f>
        <v>86541.2</v>
      </c>
      <c r="S50" s="135">
        <f t="shared" si="49"/>
        <v>7045.88</v>
      </c>
      <c r="T50" s="135">
        <f t="shared" si="49"/>
        <v>14351.6</v>
      </c>
      <c r="U50" s="135">
        <f t="shared" si="49"/>
        <v>1400.2</v>
      </c>
      <c r="V50" s="135">
        <f t="shared" si="49"/>
        <v>22797.68</v>
      </c>
      <c r="X50" s="169"/>
    </row>
    <row r="51" spans="1:24" ht="18.75" hidden="1" x14ac:dyDescent="0.3">
      <c r="C51" s="136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37"/>
      <c r="X51" s="169"/>
    </row>
    <row r="52" spans="1:24" ht="18.75" x14ac:dyDescent="0.3">
      <c r="B52" s="138" t="s">
        <v>78</v>
      </c>
      <c r="C52" s="31" t="s">
        <v>34</v>
      </c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37"/>
      <c r="X52" s="169"/>
    </row>
    <row r="53" spans="1:24" ht="21" x14ac:dyDescent="0.35">
      <c r="B53" s="102" t="s">
        <v>69</v>
      </c>
      <c r="C53" s="125" t="s">
        <v>196</v>
      </c>
      <c r="D53" s="102" t="s">
        <v>130</v>
      </c>
      <c r="E53" s="103">
        <v>7443.8</v>
      </c>
      <c r="F53" s="126">
        <v>15</v>
      </c>
      <c r="G53" s="137"/>
      <c r="H53" s="103"/>
      <c r="I53" s="144"/>
      <c r="J53" s="141"/>
      <c r="K53" s="141">
        <f t="shared" ref="K53" si="50">E53-I53</f>
        <v>7443.8</v>
      </c>
      <c r="L53" s="141"/>
      <c r="M53" s="103"/>
      <c r="N53" s="103">
        <v>951.78</v>
      </c>
      <c r="O53" s="103">
        <v>0.02</v>
      </c>
      <c r="P53" s="141"/>
      <c r="Q53" s="103">
        <f t="shared" ref="Q53" si="51">SUM(N53:P53)+G53</f>
        <v>951.8</v>
      </c>
      <c r="R53" s="190">
        <f t="shared" ref="R53:R54" si="52">K53-Q53</f>
        <v>6492</v>
      </c>
      <c r="S53" s="170">
        <v>432.30499999999995</v>
      </c>
      <c r="T53" s="128"/>
      <c r="U53" s="128"/>
      <c r="V53" s="129">
        <f t="shared" ref="V53:V58" si="53">SUM(S53:U53)</f>
        <v>432.30499999999995</v>
      </c>
      <c r="X53" s="169"/>
    </row>
    <row r="54" spans="1:24" ht="21" x14ac:dyDescent="0.35">
      <c r="B54" s="102" t="s">
        <v>81</v>
      </c>
      <c r="C54" s="125" t="s">
        <v>168</v>
      </c>
      <c r="D54" s="102" t="s">
        <v>128</v>
      </c>
      <c r="E54" s="103">
        <v>7000.8</v>
      </c>
      <c r="F54" s="126">
        <v>15</v>
      </c>
      <c r="G54" s="141"/>
      <c r="H54" s="103"/>
      <c r="I54" s="144">
        <v>6.66</v>
      </c>
      <c r="J54" s="103"/>
      <c r="K54" s="103">
        <f>E54-I54</f>
        <v>6994.14</v>
      </c>
      <c r="L54" s="103"/>
      <c r="M54" s="103"/>
      <c r="N54" s="103">
        <v>857.15</v>
      </c>
      <c r="O54" s="103">
        <v>7.0000000000000007E-2</v>
      </c>
      <c r="P54" s="237">
        <v>805.12</v>
      </c>
      <c r="Q54" s="103">
        <f>SUM(N54:P54)+G54</f>
        <v>1662.3400000000001</v>
      </c>
      <c r="R54" s="190">
        <f t="shared" si="52"/>
        <v>5331.8</v>
      </c>
      <c r="S54" s="170">
        <v>419.125</v>
      </c>
      <c r="T54" s="128">
        <f t="shared" ref="T54" si="54">ROUND(+E54*17.5%,2)+ROUND(E54*3%,2)</f>
        <v>1435.16</v>
      </c>
      <c r="U54" s="244">
        <f t="shared" ref="U54" si="55">ROUND(+E54*2%,2)</f>
        <v>140.02000000000001</v>
      </c>
      <c r="V54" s="129">
        <f t="shared" ref="V54" si="56">SUM(S54:U54)</f>
        <v>1994.3050000000001</v>
      </c>
      <c r="X54" s="169"/>
    </row>
    <row r="55" spans="1:24" ht="21" x14ac:dyDescent="0.35">
      <c r="B55" s="102" t="s">
        <v>107</v>
      </c>
      <c r="C55" s="125" t="s">
        <v>108</v>
      </c>
      <c r="D55" s="102" t="s">
        <v>109</v>
      </c>
      <c r="E55" s="103">
        <v>7000.8</v>
      </c>
      <c r="F55" s="126">
        <v>15</v>
      </c>
      <c r="G55" s="103"/>
      <c r="H55" s="103"/>
      <c r="I55" s="144">
        <v>5.55</v>
      </c>
      <c r="J55" s="103"/>
      <c r="K55" s="103">
        <f>E55-I55</f>
        <v>6995.25</v>
      </c>
      <c r="L55" s="103"/>
      <c r="M55" s="103"/>
      <c r="N55" s="103">
        <v>857.15</v>
      </c>
      <c r="O55" s="103">
        <v>0.01</v>
      </c>
      <c r="P55" s="237">
        <f t="shared" ref="P55" si="57">ROUND(E55*0.115,2)</f>
        <v>805.09</v>
      </c>
      <c r="Q55" s="103">
        <f>SUM(N55:P55)+G55</f>
        <v>1662.25</v>
      </c>
      <c r="R55" s="190">
        <f>K55-Q55</f>
        <v>5333</v>
      </c>
      <c r="S55" s="170">
        <v>419.125</v>
      </c>
      <c r="T55" s="128">
        <f t="shared" ref="T55" si="58">ROUND(+E55*17.5%,2)+ROUND(E55*3%,2)</f>
        <v>1435.16</v>
      </c>
      <c r="U55" s="244">
        <f t="shared" ref="U55" si="59">ROUND(+E55*2%,2)</f>
        <v>140.02000000000001</v>
      </c>
      <c r="V55" s="129">
        <f t="shared" si="53"/>
        <v>1994.3050000000001</v>
      </c>
      <c r="X55" s="169"/>
    </row>
    <row r="56" spans="1:24" ht="31.5" x14ac:dyDescent="0.35">
      <c r="A56" s="102" t="s">
        <v>179</v>
      </c>
      <c r="B56" s="158" t="s">
        <v>156</v>
      </c>
      <c r="C56" s="30" t="s">
        <v>183</v>
      </c>
      <c r="D56" s="198" t="s">
        <v>160</v>
      </c>
      <c r="E56" s="103">
        <v>6791.5</v>
      </c>
      <c r="F56" s="126">
        <v>15</v>
      </c>
      <c r="G56" s="141"/>
      <c r="H56" s="103"/>
      <c r="I56" s="144"/>
      <c r="J56" s="103"/>
      <c r="K56" s="103">
        <f t="shared" ref="K56:K58" si="60">E56-I56</f>
        <v>6791.5</v>
      </c>
      <c r="L56" s="103"/>
      <c r="M56" s="103"/>
      <c r="N56" s="103">
        <v>812.45</v>
      </c>
      <c r="O56" s="103">
        <v>0.05</v>
      </c>
      <c r="P56" s="141"/>
      <c r="Q56" s="103">
        <f t="shared" ref="Q56" si="61">SUM(N56:P56)+G56</f>
        <v>812.5</v>
      </c>
      <c r="R56" s="190">
        <f t="shared" ref="R56:R57" si="62">K56-Q56</f>
        <v>5979</v>
      </c>
      <c r="S56" s="170">
        <v>412.89499999999998</v>
      </c>
      <c r="T56" s="128"/>
      <c r="U56" s="128"/>
      <c r="V56" s="129">
        <f t="shared" ref="V56" si="63">SUM(S56:U56)</f>
        <v>412.89499999999998</v>
      </c>
      <c r="X56" s="169"/>
    </row>
    <row r="57" spans="1:24" ht="31.5" x14ac:dyDescent="0.35">
      <c r="B57" s="158" t="s">
        <v>157</v>
      </c>
      <c r="C57" s="30" t="s">
        <v>197</v>
      </c>
      <c r="D57" s="198" t="s">
        <v>160</v>
      </c>
      <c r="E57" s="103">
        <v>6791.5</v>
      </c>
      <c r="F57" s="126">
        <v>13</v>
      </c>
      <c r="G57" s="141"/>
      <c r="H57" s="103"/>
      <c r="I57" s="144">
        <v>917.3</v>
      </c>
      <c r="J57" s="103"/>
      <c r="K57" s="103">
        <f t="shared" si="60"/>
        <v>5874.2</v>
      </c>
      <c r="L57" s="103"/>
      <c r="M57" s="103"/>
      <c r="N57" s="103">
        <v>812.45</v>
      </c>
      <c r="O57" s="103">
        <v>-0.05</v>
      </c>
      <c r="P57" s="141"/>
      <c r="Q57" s="103">
        <f t="shared" ref="Q57" si="64">SUM(N57:P57)+G57</f>
        <v>812.40000000000009</v>
      </c>
      <c r="R57" s="190">
        <f t="shared" si="62"/>
        <v>5061.7999999999993</v>
      </c>
      <c r="S57" s="170">
        <v>412.89499999999998</v>
      </c>
      <c r="T57" s="128"/>
      <c r="U57" s="128"/>
      <c r="V57" s="129">
        <f t="shared" si="53"/>
        <v>412.89499999999998</v>
      </c>
      <c r="X57" s="169"/>
    </row>
    <row r="58" spans="1:24" ht="31.5" x14ac:dyDescent="0.35">
      <c r="B58" s="158" t="s">
        <v>158</v>
      </c>
      <c r="C58" s="30" t="s">
        <v>169</v>
      </c>
      <c r="D58" s="198" t="s">
        <v>160</v>
      </c>
      <c r="E58" s="103">
        <v>6791.5</v>
      </c>
      <c r="F58" s="126">
        <v>15</v>
      </c>
      <c r="G58" s="103"/>
      <c r="H58" s="103"/>
      <c r="I58" s="144">
        <v>3.21</v>
      </c>
      <c r="J58" s="103"/>
      <c r="K58" s="103">
        <f t="shared" si="60"/>
        <v>6788.29</v>
      </c>
      <c r="L58" s="103"/>
      <c r="M58" s="103"/>
      <c r="N58" s="103">
        <v>812.45</v>
      </c>
      <c r="O58" s="103">
        <v>0.02</v>
      </c>
      <c r="P58" s="237">
        <f t="shared" ref="P58" si="65">ROUND(E58*0.115,2)</f>
        <v>781.02</v>
      </c>
      <c r="Q58" s="103">
        <f>SUM(N58:P58)+G58</f>
        <v>1593.49</v>
      </c>
      <c r="R58" s="190">
        <f>K58-Q58</f>
        <v>5194.8</v>
      </c>
      <c r="S58" s="170">
        <v>412.89499999999998</v>
      </c>
      <c r="T58" s="128">
        <f t="shared" ref="T58" si="66">ROUND(+E58*17.5%,2)+ROUND(E58*3%,2)</f>
        <v>1392.26</v>
      </c>
      <c r="U58" s="244">
        <f t="shared" ref="U58" si="67">ROUND(+E58*2%,2)</f>
        <v>135.83000000000001</v>
      </c>
      <c r="V58" s="129">
        <f t="shared" si="53"/>
        <v>1940.9849999999999</v>
      </c>
      <c r="X58" s="169"/>
    </row>
    <row r="59" spans="1:24" ht="18.75" x14ac:dyDescent="0.3">
      <c r="B59" s="138" t="s">
        <v>20</v>
      </c>
      <c r="C59" s="132"/>
      <c r="D59" s="133"/>
      <c r="E59" s="135">
        <f>SUM(E53:E58)</f>
        <v>41819.9</v>
      </c>
      <c r="F59" s="135"/>
      <c r="G59" s="135">
        <f t="shared" ref="G59:J59" si="68">SUM(G53:G58)</f>
        <v>0</v>
      </c>
      <c r="H59" s="135">
        <f t="shared" si="68"/>
        <v>0</v>
      </c>
      <c r="I59" s="135">
        <f>SUM(I53:I58)</f>
        <v>932.72</v>
      </c>
      <c r="J59" s="135">
        <f t="shared" si="68"/>
        <v>0</v>
      </c>
      <c r="K59" s="135">
        <f>SUM(K53:K58)</f>
        <v>40887.18</v>
      </c>
      <c r="L59" s="135">
        <f t="shared" ref="L59:V59" si="69">SUM(L53:L58)</f>
        <v>0</v>
      </c>
      <c r="M59" s="135">
        <f t="shared" si="69"/>
        <v>0</v>
      </c>
      <c r="N59" s="135">
        <f t="shared" si="69"/>
        <v>5103.4299999999994</v>
      </c>
      <c r="O59" s="135">
        <f t="shared" si="69"/>
        <v>0.12000000000000002</v>
      </c>
      <c r="P59" s="135">
        <f t="shared" si="69"/>
        <v>2391.23</v>
      </c>
      <c r="Q59" s="135">
        <f t="shared" si="69"/>
        <v>7494.7800000000007</v>
      </c>
      <c r="R59" s="135">
        <f>SUM(R53:R58)</f>
        <v>33392.400000000001</v>
      </c>
      <c r="S59" s="135">
        <f t="shared" si="69"/>
        <v>2509.2399999999998</v>
      </c>
      <c r="T59" s="135">
        <f t="shared" si="69"/>
        <v>4262.58</v>
      </c>
      <c r="U59" s="135">
        <f t="shared" si="69"/>
        <v>415.87</v>
      </c>
      <c r="V59" s="135">
        <f t="shared" si="69"/>
        <v>7187.69</v>
      </c>
      <c r="X59" s="169"/>
    </row>
    <row r="60" spans="1:24" ht="18.75" hidden="1" x14ac:dyDescent="0.3">
      <c r="B60" s="138"/>
      <c r="C60" s="136"/>
      <c r="E60" s="103"/>
      <c r="F60" s="103"/>
      <c r="G60" s="103"/>
      <c r="H60" s="103"/>
      <c r="I60" s="103"/>
      <c r="J60" s="103"/>
      <c r="K60" s="146"/>
      <c r="L60" s="146"/>
      <c r="M60" s="146"/>
      <c r="N60" s="146"/>
      <c r="O60" s="146"/>
      <c r="P60" s="146"/>
      <c r="Q60" s="146"/>
      <c r="R60" s="147"/>
      <c r="S60" s="148"/>
      <c r="T60" s="148"/>
      <c r="U60" s="148"/>
      <c r="V60" s="148"/>
      <c r="X60" s="169"/>
    </row>
    <row r="61" spans="1:24" ht="18.75" x14ac:dyDescent="0.3">
      <c r="B61" s="138" t="s">
        <v>84</v>
      </c>
      <c r="C61" s="31" t="s">
        <v>85</v>
      </c>
      <c r="E61" s="103"/>
      <c r="F61" s="103"/>
      <c r="G61" s="103"/>
      <c r="H61" s="103"/>
      <c r="I61" s="103"/>
      <c r="J61" s="103"/>
      <c r="K61" s="146"/>
      <c r="L61" s="146"/>
      <c r="M61" s="146"/>
      <c r="N61" s="146"/>
      <c r="O61" s="146"/>
      <c r="P61" s="146"/>
      <c r="Q61" s="146"/>
      <c r="R61" s="147"/>
      <c r="S61" s="148"/>
      <c r="T61" s="148"/>
      <c r="U61" s="148"/>
      <c r="V61" s="148"/>
      <c r="X61" s="169"/>
    </row>
    <row r="62" spans="1:24" ht="21" x14ac:dyDescent="0.35">
      <c r="B62" s="102" t="s">
        <v>86</v>
      </c>
      <c r="C62" s="125" t="s">
        <v>200</v>
      </c>
      <c r="D62" s="102" t="s">
        <v>114</v>
      </c>
      <c r="E62" s="103">
        <v>13000</v>
      </c>
      <c r="F62" s="126">
        <v>15</v>
      </c>
      <c r="G62" s="141">
        <v>2784</v>
      </c>
      <c r="H62" s="103"/>
      <c r="I62" s="103"/>
      <c r="J62" s="103"/>
      <c r="K62" s="103">
        <f>E62-I62</f>
        <v>13000</v>
      </c>
      <c r="L62" s="103">
        <v>0</v>
      </c>
      <c r="M62" s="103"/>
      <c r="N62" s="103">
        <v>2161.23</v>
      </c>
      <c r="O62" s="103">
        <v>-0.03</v>
      </c>
      <c r="P62" s="237">
        <f t="shared" ref="P62" si="70">ROUND(E62*0.115,2)</f>
        <v>1495</v>
      </c>
      <c r="Q62" s="103">
        <f>SUM(N62:P62)+G62</f>
        <v>6440.2</v>
      </c>
      <c r="R62" s="190">
        <f>K62-Q62</f>
        <v>6559.8</v>
      </c>
      <c r="S62" s="29">
        <v>597.69499999999994</v>
      </c>
      <c r="T62" s="128">
        <f t="shared" ref="T62" si="71">ROUND(+E62*17.5%,2)+ROUND(E62*3%,2)</f>
        <v>2665</v>
      </c>
      <c r="U62" s="244">
        <f>ROUND(+E62*2%,2)</f>
        <v>260</v>
      </c>
      <c r="V62" s="129">
        <f t="shared" ref="V62" si="72">SUM(S62:U62)</f>
        <v>3522.6949999999997</v>
      </c>
      <c r="X62" s="169"/>
    </row>
    <row r="63" spans="1:24" ht="18.75" x14ac:dyDescent="0.3">
      <c r="B63" s="138" t="s">
        <v>20</v>
      </c>
      <c r="E63" s="135">
        <f>E62</f>
        <v>13000</v>
      </c>
      <c r="F63" s="135"/>
      <c r="G63" s="135">
        <f>+G62</f>
        <v>2784</v>
      </c>
      <c r="H63" s="135"/>
      <c r="I63" s="135">
        <f>I62</f>
        <v>0</v>
      </c>
      <c r="J63" s="135">
        <f>J62</f>
        <v>0</v>
      </c>
      <c r="K63" s="135">
        <f>K62</f>
        <v>13000</v>
      </c>
      <c r="L63" s="135">
        <f t="shared" ref="L63:V63" si="73">L62</f>
        <v>0</v>
      </c>
      <c r="M63" s="135">
        <f t="shared" si="73"/>
        <v>0</v>
      </c>
      <c r="N63" s="135">
        <f t="shared" si="73"/>
        <v>2161.23</v>
      </c>
      <c r="O63" s="135">
        <f t="shared" si="73"/>
        <v>-0.03</v>
      </c>
      <c r="P63" s="135">
        <f t="shared" si="73"/>
        <v>1495</v>
      </c>
      <c r="Q63" s="135">
        <f t="shared" si="73"/>
        <v>6440.2</v>
      </c>
      <c r="R63" s="135">
        <f>R62</f>
        <v>6559.8</v>
      </c>
      <c r="S63" s="135">
        <f t="shared" si="73"/>
        <v>597.69499999999994</v>
      </c>
      <c r="T63" s="135">
        <f t="shared" si="73"/>
        <v>2665</v>
      </c>
      <c r="U63" s="135">
        <f t="shared" si="73"/>
        <v>260</v>
      </c>
      <c r="V63" s="135">
        <f t="shared" si="73"/>
        <v>3522.6949999999997</v>
      </c>
      <c r="X63" s="169"/>
    </row>
    <row r="64" spans="1:24" ht="12" customHeight="1" x14ac:dyDescent="0.3">
      <c r="B64" s="138"/>
      <c r="E64" s="103"/>
      <c r="F64" s="103"/>
      <c r="G64" s="103"/>
      <c r="H64" s="103"/>
      <c r="I64" s="103"/>
      <c r="J64" s="103"/>
      <c r="K64" s="146"/>
      <c r="L64" s="146"/>
      <c r="M64" s="146"/>
      <c r="N64" s="146"/>
      <c r="O64" s="146"/>
      <c r="P64" s="146"/>
      <c r="Q64" s="146"/>
      <c r="R64" s="147"/>
      <c r="S64" s="148"/>
      <c r="T64" s="148"/>
      <c r="U64" s="148"/>
      <c r="V64" s="148"/>
    </row>
    <row r="65" spans="3:24" ht="18.75" hidden="1" x14ac:dyDescent="0.3">
      <c r="R65" s="149"/>
    </row>
    <row r="66" spans="3:24" ht="18.75" x14ac:dyDescent="0.3">
      <c r="C66" s="150" t="s">
        <v>56</v>
      </c>
      <c r="E66" s="151">
        <f>E9+E23+E30+E50+E59+E63</f>
        <v>272463.82500000001</v>
      </c>
      <c r="F66" s="151"/>
      <c r="G66" s="152">
        <f>G9+G23+G30+G50+G59+G63</f>
        <v>21607.1</v>
      </c>
      <c r="H66" s="151"/>
      <c r="I66" s="151">
        <f t="shared" ref="I66:Q66" si="74">I9+I23+I30+I50+I59+I63</f>
        <v>1438.8000000000002</v>
      </c>
      <c r="J66" s="151">
        <f t="shared" si="74"/>
        <v>0</v>
      </c>
      <c r="K66" s="151">
        <f t="shared" si="74"/>
        <v>286742.16500000004</v>
      </c>
      <c r="L66" s="151">
        <f t="shared" si="74"/>
        <v>0</v>
      </c>
      <c r="M66" s="151">
        <f t="shared" si="74"/>
        <v>0</v>
      </c>
      <c r="N66" s="151">
        <f t="shared" si="74"/>
        <v>36611.51</v>
      </c>
      <c r="O66" s="151">
        <f t="shared" si="74"/>
        <v>-0.38</v>
      </c>
      <c r="P66" s="152">
        <f>P9+P23+P30+P50+P59+P63</f>
        <v>22612.16</v>
      </c>
      <c r="Q66" s="151">
        <f t="shared" si="74"/>
        <v>80830.39</v>
      </c>
      <c r="R66" s="153">
        <f>ROUND(+R9+R23+R30+R50+R59+R63,1)</f>
        <v>205911.8</v>
      </c>
      <c r="S66" s="151">
        <f>S9+S23+S30+S50+S59+S63</f>
        <v>16982.144999999997</v>
      </c>
      <c r="T66" s="151">
        <f>T63+T59+T50+T30+T23+T9</f>
        <v>40308.472475000002</v>
      </c>
      <c r="U66" s="152">
        <f>U9+U23+U30+U50+U59+U63</f>
        <v>3932.62</v>
      </c>
      <c r="V66" s="154">
        <f>V9+V23+V30+V50+V59+V63</f>
        <v>61223.237475000002</v>
      </c>
    </row>
    <row r="67" spans="3:24" ht="18.75" x14ac:dyDescent="0.3">
      <c r="S67" s="151"/>
      <c r="T67" s="151"/>
    </row>
    <row r="68" spans="3:24" x14ac:dyDescent="0.25">
      <c r="T68" s="103"/>
      <c r="X68" s="169"/>
    </row>
    <row r="70" spans="3:24" x14ac:dyDescent="0.25">
      <c r="I70" s="169"/>
    </row>
    <row r="75" spans="3:24" ht="16.5" thickBot="1" x14ac:dyDescent="0.3">
      <c r="E75" s="293"/>
      <c r="F75" s="293"/>
      <c r="G75" s="249"/>
      <c r="H75" s="249"/>
      <c r="P75" s="294"/>
      <c r="Q75" s="294"/>
    </row>
    <row r="76" spans="3:24" ht="15" x14ac:dyDescent="0.25">
      <c r="E76" s="295" t="s">
        <v>91</v>
      </c>
      <c r="F76" s="295"/>
      <c r="G76" s="250"/>
      <c r="H76" s="250"/>
      <c r="P76" s="155"/>
      <c r="Q76" s="155"/>
      <c r="R76" s="303" t="s">
        <v>202</v>
      </c>
      <c r="S76" s="296"/>
      <c r="T76" s="249"/>
    </row>
    <row r="80" spans="3:24" x14ac:dyDescent="0.25">
      <c r="C80" s="102" t="s">
        <v>90</v>
      </c>
    </row>
  </sheetData>
  <mergeCells count="5">
    <mergeCell ref="B4:V4"/>
    <mergeCell ref="E75:F75"/>
    <mergeCell ref="P75:Q75"/>
    <mergeCell ref="E76:F76"/>
    <mergeCell ref="R76:S76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74E47-3B0F-405E-ADEF-C14008914C52}">
  <sheetPr>
    <pageSetUpPr fitToPage="1"/>
  </sheetPr>
  <dimension ref="A3:X80"/>
  <sheetViews>
    <sheetView zoomScale="70" zoomScaleNormal="70" workbookViewId="0">
      <selection activeCell="E8" sqref="E8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5.85546875" style="102" bestFit="1" customWidth="1"/>
    <col min="8" max="8" width="14.140625" style="102" hidden="1" customWidth="1"/>
    <col min="9" max="9" width="13.28515625" style="102" customWidth="1"/>
    <col min="10" max="10" width="13.28515625" style="102" hidden="1" customWidth="1"/>
    <col min="11" max="11" width="17.42578125" style="102" bestFit="1" customWidth="1"/>
    <col min="12" max="12" width="9.42578125" style="102" hidden="1" customWidth="1"/>
    <col min="13" max="13" width="14.42578125" style="102" hidden="1" customWidth="1"/>
    <col min="14" max="16" width="15.85546875" style="102" bestFit="1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4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4" ht="16.5" customHeight="1" x14ac:dyDescent="0.25">
      <c r="B4" s="291" t="s">
        <v>216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4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2" t="s">
        <v>206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4" x14ac:dyDescent="0.25">
      <c r="B6" s="121" t="s">
        <v>13</v>
      </c>
      <c r="C6" s="5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4" ht="21" x14ac:dyDescent="0.35">
      <c r="B7" s="102" t="s">
        <v>15</v>
      </c>
      <c r="C7" s="125" t="s">
        <v>16</v>
      </c>
      <c r="D7" s="102" t="s">
        <v>19</v>
      </c>
      <c r="E7" s="103">
        <v>19461.365000000002</v>
      </c>
      <c r="F7" s="126">
        <v>15</v>
      </c>
      <c r="G7" s="141"/>
      <c r="H7" s="103"/>
      <c r="I7" s="103"/>
      <c r="J7" s="103"/>
      <c r="K7" s="103">
        <f>E7-I7</f>
        <v>19461.365000000002</v>
      </c>
      <c r="L7" s="103">
        <v>0</v>
      </c>
      <c r="M7" s="103"/>
      <c r="N7" s="103">
        <v>3721.35</v>
      </c>
      <c r="O7" s="103">
        <v>0.16</v>
      </c>
      <c r="P7" s="253">
        <f>ROUND(E7*0.115,2)</f>
        <v>2238.06</v>
      </c>
      <c r="Q7" s="103">
        <f>SUM(N7:P7)+G7</f>
        <v>5959.57</v>
      </c>
      <c r="R7" s="208">
        <f>K7-Q7</f>
        <v>13501.795000000002</v>
      </c>
      <c r="S7" s="29">
        <v>790.02500000000009</v>
      </c>
      <c r="T7" s="128">
        <f>+E7*17.5%+E7*3%</f>
        <v>3989.5798249999998</v>
      </c>
      <c r="U7" s="244">
        <f>ROUND(+E7*2%,2)</f>
        <v>389.23</v>
      </c>
      <c r="V7" s="129">
        <f>SUM(S7:U7)</f>
        <v>5168.8348249999999</v>
      </c>
      <c r="X7" s="169"/>
    </row>
    <row r="8" spans="2:24" ht="21" x14ac:dyDescent="0.35">
      <c r="B8" s="102" t="s">
        <v>17</v>
      </c>
      <c r="C8" s="125" t="s">
        <v>18</v>
      </c>
      <c r="D8" s="102" t="s">
        <v>2</v>
      </c>
      <c r="E8" s="103">
        <v>6247.33</v>
      </c>
      <c r="F8" s="126">
        <v>15</v>
      </c>
      <c r="G8" s="159">
        <v>1000</v>
      </c>
      <c r="H8" s="103"/>
      <c r="I8" s="130"/>
      <c r="J8" s="103"/>
      <c r="K8" s="103">
        <f>E8-I8</f>
        <v>6247.33</v>
      </c>
      <c r="L8" s="103">
        <v>0</v>
      </c>
      <c r="M8" s="103"/>
      <c r="N8" s="103">
        <v>696.21</v>
      </c>
      <c r="O8" s="103">
        <v>0.08</v>
      </c>
      <c r="P8" s="237">
        <f>ROUND(E8*0.115,2)</f>
        <v>718.44</v>
      </c>
      <c r="Q8" s="103">
        <f>SUM(N8:P8)+G8</f>
        <v>2414.73</v>
      </c>
      <c r="R8" s="208">
        <f>K8-Q8</f>
        <v>3832.6</v>
      </c>
      <c r="S8" s="29">
        <v>396.69499999999999</v>
      </c>
      <c r="T8" s="128">
        <f>+E8*17.5%+E8*3%</f>
        <v>1280.7026499999997</v>
      </c>
      <c r="U8" s="244">
        <f>ROUND(+E8*2%,2)</f>
        <v>124.95</v>
      </c>
      <c r="V8" s="129">
        <f>SUM(S8:U8)</f>
        <v>1802.3476499999997</v>
      </c>
      <c r="X8" s="169"/>
    </row>
    <row r="9" spans="2:24" ht="18.75" x14ac:dyDescent="0.3">
      <c r="B9" s="131" t="s">
        <v>20</v>
      </c>
      <c r="C9" s="132"/>
      <c r="D9" s="133"/>
      <c r="E9" s="135">
        <f>SUM(E7:E8)</f>
        <v>25708.695</v>
      </c>
      <c r="F9" s="135"/>
      <c r="G9" s="135">
        <f>+G8+G7</f>
        <v>1000</v>
      </c>
      <c r="H9" s="135"/>
      <c r="I9" s="135">
        <f t="shared" ref="I9:J9" si="0">SUM(I7:I8)</f>
        <v>0</v>
      </c>
      <c r="J9" s="135">
        <f t="shared" si="0"/>
        <v>0</v>
      </c>
      <c r="K9" s="135">
        <f>SUM(K7:K8)</f>
        <v>25708.695</v>
      </c>
      <c r="L9" s="135">
        <f t="shared" ref="L9:V9" si="1">SUM(L7:L8)</f>
        <v>0</v>
      </c>
      <c r="M9" s="135">
        <f t="shared" si="1"/>
        <v>0</v>
      </c>
      <c r="N9" s="135">
        <f t="shared" si="1"/>
        <v>4417.5599999999995</v>
      </c>
      <c r="O9" s="135">
        <f t="shared" si="1"/>
        <v>0.24</v>
      </c>
      <c r="P9" s="135">
        <f>SUM(P7:P8)</f>
        <v>2956.5</v>
      </c>
      <c r="Q9" s="135">
        <f t="shared" si="1"/>
        <v>8374.2999999999993</v>
      </c>
      <c r="R9" s="135">
        <f>SUM(R7:R8)</f>
        <v>17334.395</v>
      </c>
      <c r="S9" s="135">
        <f t="shared" si="1"/>
        <v>1186.72</v>
      </c>
      <c r="T9" s="135">
        <f t="shared" si="1"/>
        <v>5270.282475</v>
      </c>
      <c r="U9" s="135">
        <f t="shared" si="1"/>
        <v>514.18000000000006</v>
      </c>
      <c r="V9" s="135">
        <f t="shared" si="1"/>
        <v>6971.1824749999996</v>
      </c>
      <c r="X9" s="169"/>
    </row>
    <row r="10" spans="2:24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4" ht="18.75" x14ac:dyDescent="0.3">
      <c r="B11" s="138" t="s">
        <v>21</v>
      </c>
      <c r="C11" s="31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4" ht="21" x14ac:dyDescent="0.35">
      <c r="B12" s="102" t="s">
        <v>23</v>
      </c>
      <c r="C12" s="125" t="s">
        <v>191</v>
      </c>
      <c r="D12" s="102" t="s">
        <v>114</v>
      </c>
      <c r="E12" s="103">
        <v>13000</v>
      </c>
      <c r="F12" s="126">
        <v>15</v>
      </c>
      <c r="G12" s="159">
        <v>2223</v>
      </c>
      <c r="H12" s="103"/>
      <c r="I12" s="103"/>
      <c r="J12" s="103"/>
      <c r="K12" s="103">
        <f t="shared" ref="K12:K18" si="2">E12-I12</f>
        <v>13000</v>
      </c>
      <c r="L12" s="103">
        <v>0</v>
      </c>
      <c r="M12" s="103"/>
      <c r="N12" s="103">
        <v>2161.23</v>
      </c>
      <c r="O12" s="103">
        <v>-0.03</v>
      </c>
      <c r="P12" s="253">
        <f t="shared" ref="P12:P19" si="3">ROUND(E12*0.115,2)</f>
        <v>1495</v>
      </c>
      <c r="Q12" s="103">
        <f t="shared" ref="Q12:Q19" si="4">SUM(N12:P12)+G12</f>
        <v>5879.2</v>
      </c>
      <c r="R12" s="208">
        <f t="shared" ref="R12:R21" si="5">K12-Q12</f>
        <v>7120.8</v>
      </c>
      <c r="S12" s="29">
        <v>597.69499999999994</v>
      </c>
      <c r="T12" s="128">
        <f>ROUND(+E12*17.5%,2)+ROUND(E12*3%,2)</f>
        <v>2665</v>
      </c>
      <c r="U12" s="244">
        <f t="shared" ref="U12:U19" si="6">ROUND(+E12*2%,2)</f>
        <v>260</v>
      </c>
      <c r="V12" s="129">
        <f t="shared" ref="V12:V21" si="7">SUM(S12:U12)</f>
        <v>3522.6949999999997</v>
      </c>
      <c r="X12" s="169"/>
    </row>
    <row r="13" spans="2:24" ht="21" x14ac:dyDescent="0.35">
      <c r="B13" s="102" t="s">
        <v>24</v>
      </c>
      <c r="C13" s="125" t="s">
        <v>192</v>
      </c>
      <c r="D13" s="102" t="s">
        <v>116</v>
      </c>
      <c r="E13" s="103">
        <v>7000.8</v>
      </c>
      <c r="F13" s="126">
        <v>15</v>
      </c>
      <c r="G13" s="141"/>
      <c r="H13" s="103"/>
      <c r="I13" s="139"/>
      <c r="J13" s="140"/>
      <c r="K13" s="103">
        <f>E13-I13</f>
        <v>7000.8</v>
      </c>
      <c r="L13" s="103">
        <v>0</v>
      </c>
      <c r="M13" s="103"/>
      <c r="N13" s="103">
        <v>857.15</v>
      </c>
      <c r="O13" s="103">
        <v>0.05</v>
      </c>
      <c r="P13" s="141"/>
      <c r="Q13" s="103">
        <f t="shared" si="4"/>
        <v>857.19999999999993</v>
      </c>
      <c r="R13" s="208">
        <f t="shared" si="5"/>
        <v>6143.6</v>
      </c>
      <c r="S13" s="29">
        <v>419.125</v>
      </c>
      <c r="T13" s="128"/>
      <c r="U13" s="128"/>
      <c r="V13" s="129">
        <f t="shared" si="7"/>
        <v>419.125</v>
      </c>
      <c r="X13" s="169"/>
    </row>
    <row r="14" spans="2:24" ht="21" x14ac:dyDescent="0.35">
      <c r="B14" s="102" t="s">
        <v>25</v>
      </c>
      <c r="C14" s="30" t="s">
        <v>174</v>
      </c>
      <c r="D14" s="102" t="s">
        <v>115</v>
      </c>
      <c r="E14" s="103">
        <v>7000.8</v>
      </c>
      <c r="F14" s="126">
        <v>15</v>
      </c>
      <c r="G14" s="159">
        <v>1330.99</v>
      </c>
      <c r="H14" s="141"/>
      <c r="I14" s="139"/>
      <c r="J14" s="140"/>
      <c r="K14" s="103">
        <f>E14-I14</f>
        <v>7000.8</v>
      </c>
      <c r="L14" s="103">
        <v>0</v>
      </c>
      <c r="M14" s="103"/>
      <c r="N14" s="103">
        <v>857.15</v>
      </c>
      <c r="O14" s="103">
        <v>-0.03</v>
      </c>
      <c r="P14" s="237">
        <f>ROUND(E14*0.115,2)</f>
        <v>805.09</v>
      </c>
      <c r="Q14" s="103">
        <f>SUM(N14:P14)+G14</f>
        <v>2993.2</v>
      </c>
      <c r="R14" s="208">
        <f>K14-Q14</f>
        <v>4007.6000000000004</v>
      </c>
      <c r="S14" s="29">
        <v>419.125</v>
      </c>
      <c r="T14" s="128">
        <f t="shared" ref="T14:T19" si="8">ROUND(+E14*17.5%,2)+ROUND(E14*3%,2)</f>
        <v>1435.16</v>
      </c>
      <c r="U14" s="244">
        <f t="shared" si="6"/>
        <v>140.02000000000001</v>
      </c>
      <c r="V14" s="129">
        <f t="shared" si="7"/>
        <v>1994.3050000000001</v>
      </c>
      <c r="X14" s="169"/>
    </row>
    <row r="15" spans="2:24" ht="21" x14ac:dyDescent="0.35">
      <c r="B15" s="102" t="s">
        <v>26</v>
      </c>
      <c r="C15" s="30" t="s">
        <v>193</v>
      </c>
      <c r="D15" s="102" t="s">
        <v>37</v>
      </c>
      <c r="E15" s="103">
        <v>7443.8</v>
      </c>
      <c r="F15" s="126">
        <v>15</v>
      </c>
      <c r="G15" s="103"/>
      <c r="H15" s="103"/>
      <c r="I15" s="139"/>
      <c r="J15" s="103"/>
      <c r="K15" s="103">
        <f t="shared" si="2"/>
        <v>7443.8</v>
      </c>
      <c r="L15" s="103">
        <v>0</v>
      </c>
      <c r="M15" s="103"/>
      <c r="N15" s="103">
        <v>951.78</v>
      </c>
      <c r="O15" s="103">
        <v>0.02</v>
      </c>
      <c r="P15" s="141"/>
      <c r="Q15" s="103">
        <f t="shared" si="4"/>
        <v>951.8</v>
      </c>
      <c r="R15" s="208">
        <f t="shared" si="5"/>
        <v>6492</v>
      </c>
      <c r="S15" s="29">
        <v>432.30499999999995</v>
      </c>
      <c r="T15" s="128"/>
      <c r="U15" s="128"/>
      <c r="V15" s="129">
        <f t="shared" si="7"/>
        <v>432.30499999999995</v>
      </c>
      <c r="X15" s="169"/>
    </row>
    <row r="16" spans="2:24" ht="21" x14ac:dyDescent="0.35">
      <c r="B16" s="102" t="s">
        <v>27</v>
      </c>
      <c r="C16" s="125" t="s">
        <v>40</v>
      </c>
      <c r="D16" s="102" t="s">
        <v>117</v>
      </c>
      <c r="E16" s="103">
        <v>4918.3649999999998</v>
      </c>
      <c r="F16" s="126">
        <v>15</v>
      </c>
      <c r="G16" s="159">
        <v>2050</v>
      </c>
      <c r="H16" s="103"/>
      <c r="I16" s="139"/>
      <c r="J16" s="103"/>
      <c r="K16" s="103">
        <f>E16-I16</f>
        <v>4918.3649999999998</v>
      </c>
      <c r="L16" s="103">
        <v>0</v>
      </c>
      <c r="M16" s="103"/>
      <c r="N16" s="103">
        <v>447.61</v>
      </c>
      <c r="O16" s="103">
        <v>-0.05</v>
      </c>
      <c r="P16" s="237">
        <f>ROUND(E16*0.115,2)</f>
        <v>565.61</v>
      </c>
      <c r="Q16" s="103">
        <f>SUM(N16:P16)+G16</f>
        <v>3063.17</v>
      </c>
      <c r="R16" s="208">
        <f t="shared" si="5"/>
        <v>1855.1949999999997</v>
      </c>
      <c r="S16" s="29">
        <v>361.11500000000001</v>
      </c>
      <c r="T16" s="128">
        <f t="shared" si="8"/>
        <v>1008.26</v>
      </c>
      <c r="U16" s="244">
        <f t="shared" si="6"/>
        <v>98.37</v>
      </c>
      <c r="V16" s="129">
        <f t="shared" si="7"/>
        <v>1467.7449999999999</v>
      </c>
      <c r="X16" s="169"/>
    </row>
    <row r="17" spans="2:24" ht="21" x14ac:dyDescent="0.35">
      <c r="B17" s="102" t="s">
        <v>60</v>
      </c>
      <c r="C17" s="125" t="s">
        <v>41</v>
      </c>
      <c r="D17" s="102" t="s">
        <v>118</v>
      </c>
      <c r="E17" s="103"/>
      <c r="F17" s="126"/>
      <c r="G17" s="141"/>
      <c r="H17" s="103"/>
      <c r="I17" s="139"/>
      <c r="J17" s="103"/>
      <c r="K17" s="103"/>
      <c r="L17" s="103"/>
      <c r="M17" s="103"/>
      <c r="N17" s="103"/>
      <c r="O17" s="103"/>
      <c r="P17" s="141"/>
      <c r="Q17" s="141"/>
      <c r="R17" s="254"/>
      <c r="S17" s="29">
        <v>240.66</v>
      </c>
      <c r="T17" s="128">
        <f t="shared" si="8"/>
        <v>0</v>
      </c>
      <c r="U17" s="128">
        <f t="shared" si="6"/>
        <v>0</v>
      </c>
      <c r="V17" s="255">
        <f t="shared" si="7"/>
        <v>240.66</v>
      </c>
      <c r="X17" s="169"/>
    </row>
    <row r="18" spans="2:24" ht="21" x14ac:dyDescent="0.35">
      <c r="B18" s="102" t="s">
        <v>61</v>
      </c>
      <c r="C18" s="125" t="s">
        <v>43</v>
      </c>
      <c r="D18" s="102" t="s">
        <v>3</v>
      </c>
      <c r="E18" s="103">
        <v>4358.17</v>
      </c>
      <c r="F18" s="126">
        <v>15</v>
      </c>
      <c r="G18" s="159">
        <v>1927.08</v>
      </c>
      <c r="H18" s="103"/>
      <c r="I18" s="32"/>
      <c r="J18" s="103"/>
      <c r="K18" s="103">
        <f t="shared" si="2"/>
        <v>4358.17</v>
      </c>
      <c r="L18" s="103"/>
      <c r="M18" s="103"/>
      <c r="N18" s="103">
        <v>357.97</v>
      </c>
      <c r="O18" s="103">
        <v>0.13</v>
      </c>
      <c r="P18" s="253">
        <f t="shared" si="3"/>
        <v>501.19</v>
      </c>
      <c r="Q18" s="103">
        <f t="shared" si="4"/>
        <v>2786.37</v>
      </c>
      <c r="R18" s="208">
        <f t="shared" si="5"/>
        <v>1571.8000000000002</v>
      </c>
      <c r="S18" s="29">
        <v>326.7</v>
      </c>
      <c r="T18" s="128">
        <f t="shared" si="8"/>
        <v>893.43</v>
      </c>
      <c r="U18" s="244">
        <f t="shared" si="6"/>
        <v>87.16</v>
      </c>
      <c r="V18" s="129">
        <f t="shared" si="7"/>
        <v>1307.29</v>
      </c>
      <c r="X18" s="169"/>
    </row>
    <row r="19" spans="2:24" ht="21" x14ac:dyDescent="0.35">
      <c r="B19" s="102" t="s">
        <v>62</v>
      </c>
      <c r="C19" s="125" t="s">
        <v>42</v>
      </c>
      <c r="D19" s="102" t="s">
        <v>119</v>
      </c>
      <c r="E19" s="103">
        <v>4918.3649999999998</v>
      </c>
      <c r="F19" s="126">
        <v>15</v>
      </c>
      <c r="G19" s="159">
        <v>1340.03</v>
      </c>
      <c r="H19" s="130"/>
      <c r="I19" s="139"/>
      <c r="J19" s="103"/>
      <c r="K19" s="103">
        <f>E19-I19+H19</f>
        <v>4918.3649999999998</v>
      </c>
      <c r="L19" s="103"/>
      <c r="M19" s="103"/>
      <c r="N19" s="103">
        <v>447.61</v>
      </c>
      <c r="O19" s="103">
        <v>-0.08</v>
      </c>
      <c r="P19" s="253">
        <f t="shared" si="3"/>
        <v>565.61</v>
      </c>
      <c r="Q19" s="103">
        <f t="shared" si="4"/>
        <v>2353.17</v>
      </c>
      <c r="R19" s="208">
        <f t="shared" si="5"/>
        <v>2565.1949999999997</v>
      </c>
      <c r="S19" s="29">
        <v>361.11500000000001</v>
      </c>
      <c r="T19" s="128">
        <f t="shared" si="8"/>
        <v>1008.26</v>
      </c>
      <c r="U19" s="244">
        <f t="shared" si="6"/>
        <v>98.37</v>
      </c>
      <c r="V19" s="129">
        <f t="shared" si="7"/>
        <v>1467.7449999999999</v>
      </c>
      <c r="X19" s="169"/>
    </row>
    <row r="20" spans="2:24" ht="21" x14ac:dyDescent="0.35">
      <c r="B20" s="158" t="s">
        <v>187</v>
      </c>
      <c r="C20" s="30" t="s">
        <v>199</v>
      </c>
      <c r="D20" s="158" t="s">
        <v>188</v>
      </c>
      <c r="E20" s="103">
        <v>4918.3649999999998</v>
      </c>
      <c r="F20" s="126">
        <v>15</v>
      </c>
      <c r="G20" s="141"/>
      <c r="H20" s="130"/>
      <c r="I20" s="139"/>
      <c r="J20" s="103"/>
      <c r="K20" s="103">
        <f>E20-I20+H20</f>
        <v>4918.3649999999998</v>
      </c>
      <c r="L20" s="103"/>
      <c r="M20" s="103"/>
      <c r="N20" s="103">
        <v>447.61</v>
      </c>
      <c r="O20" s="103">
        <v>-0.04</v>
      </c>
      <c r="P20" s="141"/>
      <c r="Q20" s="103">
        <f t="shared" ref="Q20" si="9">SUM(N20:P20)+G20</f>
        <v>447.57</v>
      </c>
      <c r="R20" s="208">
        <f t="shared" si="5"/>
        <v>4470.7950000000001</v>
      </c>
      <c r="S20" s="29">
        <v>361.11500000000001</v>
      </c>
      <c r="T20" s="128"/>
      <c r="U20" s="128"/>
      <c r="V20" s="129">
        <f t="shared" si="7"/>
        <v>361.11500000000001</v>
      </c>
      <c r="X20" s="169"/>
    </row>
    <row r="21" spans="2:24" ht="21" x14ac:dyDescent="0.35">
      <c r="B21" s="158" t="s">
        <v>213</v>
      </c>
      <c r="C21" s="30" t="s">
        <v>214</v>
      </c>
      <c r="D21" s="158" t="s">
        <v>3</v>
      </c>
      <c r="E21" s="103">
        <v>4358.17</v>
      </c>
      <c r="F21" s="126">
        <v>15</v>
      </c>
      <c r="G21" s="141"/>
      <c r="H21" s="103"/>
      <c r="I21" s="32"/>
      <c r="J21" s="103"/>
      <c r="K21" s="103">
        <f t="shared" ref="K21" si="10">E21-I21</f>
        <v>4358.17</v>
      </c>
      <c r="L21" s="103"/>
      <c r="M21" s="103"/>
      <c r="N21" s="103">
        <v>357.97</v>
      </c>
      <c r="O21" s="103">
        <v>0</v>
      </c>
      <c r="P21" s="141"/>
      <c r="Q21" s="103">
        <f t="shared" ref="Q21" si="11">SUM(N21:P21)+G21</f>
        <v>357.97</v>
      </c>
      <c r="R21" s="208">
        <f t="shared" si="5"/>
        <v>4000.2</v>
      </c>
      <c r="S21" s="29">
        <v>326.7</v>
      </c>
      <c r="T21" s="128"/>
      <c r="U21" s="244"/>
      <c r="V21" s="129">
        <f t="shared" si="7"/>
        <v>326.7</v>
      </c>
      <c r="X21" s="169"/>
    </row>
    <row r="22" spans="2:24" ht="21" x14ac:dyDescent="0.35">
      <c r="B22" s="158" t="s">
        <v>215</v>
      </c>
      <c r="C22" s="30" t="s">
        <v>217</v>
      </c>
      <c r="D22" s="158" t="s">
        <v>3</v>
      </c>
      <c r="E22" s="103">
        <v>4358.17</v>
      </c>
      <c r="F22" s="126">
        <v>15</v>
      </c>
      <c r="G22" s="141"/>
      <c r="H22" s="103"/>
      <c r="I22" s="32"/>
      <c r="J22" s="103"/>
      <c r="K22" s="103">
        <f t="shared" ref="K22" si="12">E22-I22</f>
        <v>4358.17</v>
      </c>
      <c r="L22" s="103"/>
      <c r="M22" s="103"/>
      <c r="N22" s="103">
        <v>357.97</v>
      </c>
      <c r="O22" s="103">
        <v>0</v>
      </c>
      <c r="P22" s="141"/>
      <c r="Q22" s="103">
        <f t="shared" ref="Q22" si="13">SUM(N22:P22)+G22</f>
        <v>357.97</v>
      </c>
      <c r="R22" s="208">
        <f t="shared" ref="R22" si="14">K22-Q22</f>
        <v>4000.2</v>
      </c>
      <c r="S22" s="29">
        <v>326.7</v>
      </c>
      <c r="T22" s="128"/>
      <c r="U22" s="244"/>
      <c r="V22" s="129">
        <f t="shared" ref="V22" si="15">SUM(S22:U22)</f>
        <v>326.7</v>
      </c>
      <c r="X22" s="169"/>
    </row>
    <row r="23" spans="2:24" ht="18.75" x14ac:dyDescent="0.3">
      <c r="B23" s="138" t="s">
        <v>20</v>
      </c>
      <c r="C23" s="194"/>
      <c r="D23" s="133"/>
      <c r="E23" s="135">
        <f>SUM(E12:E22)</f>
        <v>62275.00499999999</v>
      </c>
      <c r="F23" s="135"/>
      <c r="G23" s="135">
        <f>+G20+G18+G17+G16+G12+G13+G14+G19</f>
        <v>8871.1</v>
      </c>
      <c r="H23" s="135"/>
      <c r="I23" s="135">
        <f t="shared" ref="I23:J23" si="16">SUM(I12:I20)</f>
        <v>0</v>
      </c>
      <c r="J23" s="135">
        <f t="shared" si="16"/>
        <v>0</v>
      </c>
      <c r="K23" s="135">
        <f>SUM(K12:M22)</f>
        <v>62275.00499999999</v>
      </c>
      <c r="L23" s="135">
        <f t="shared" ref="L23:M23" si="17">SUM(L12:N22)</f>
        <v>7244.05</v>
      </c>
      <c r="M23" s="135">
        <f t="shared" si="17"/>
        <v>7244.02</v>
      </c>
      <c r="N23" s="135">
        <f>SUM(N12:N22)</f>
        <v>7244.05</v>
      </c>
      <c r="O23" s="135">
        <f t="shared" ref="O23:V23" si="18">SUM(O12:O22)</f>
        <v>-2.9999999999999992E-2</v>
      </c>
      <c r="P23" s="135">
        <f>SUM(P12:P22)</f>
        <v>3932.5000000000005</v>
      </c>
      <c r="Q23" s="135">
        <f>SUM(Q12:Q22)</f>
        <v>20047.620000000003</v>
      </c>
      <c r="R23" s="135">
        <f>SUM(R12:R22)</f>
        <v>42227.384999999995</v>
      </c>
      <c r="S23" s="135">
        <f>SUM(S12:S22)</f>
        <v>4172.3549999999987</v>
      </c>
      <c r="T23" s="135">
        <f t="shared" si="18"/>
        <v>7010.1100000000006</v>
      </c>
      <c r="U23" s="135">
        <f t="shared" si="18"/>
        <v>683.92</v>
      </c>
      <c r="V23" s="135">
        <f t="shared" si="18"/>
        <v>11866.385</v>
      </c>
      <c r="X23" s="169"/>
    </row>
    <row r="24" spans="2:24" ht="18.75" hidden="1" x14ac:dyDescent="0.3">
      <c r="B24" s="138"/>
      <c r="C24" s="136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37"/>
      <c r="X24" s="169"/>
    </row>
    <row r="25" spans="2:24" ht="18.75" x14ac:dyDescent="0.3">
      <c r="B25" s="138" t="s">
        <v>31</v>
      </c>
      <c r="C25" s="31" t="s">
        <v>83</v>
      </c>
      <c r="E25" s="103"/>
      <c r="F25" s="103"/>
      <c r="G25" s="103"/>
      <c r="H25" s="103"/>
      <c r="I25" s="103"/>
      <c r="J25" s="103"/>
      <c r="K25" s="142"/>
      <c r="L25" s="142"/>
      <c r="M25" s="103"/>
      <c r="N25" s="103"/>
      <c r="O25" s="103"/>
      <c r="P25" s="103"/>
      <c r="Q25" s="103"/>
      <c r="R25" s="137"/>
      <c r="X25" s="169"/>
    </row>
    <row r="26" spans="2:24" ht="21" x14ac:dyDescent="0.35">
      <c r="B26" s="102" t="s">
        <v>63</v>
      </c>
      <c r="C26" s="125" t="s">
        <v>110</v>
      </c>
      <c r="D26" s="158" t="s">
        <v>132</v>
      </c>
      <c r="E26" s="103">
        <v>7000.8</v>
      </c>
      <c r="F26" s="126">
        <v>15</v>
      </c>
      <c r="G26" s="103"/>
      <c r="H26" s="103"/>
      <c r="I26" s="103"/>
      <c r="J26" s="103"/>
      <c r="K26" s="103">
        <f>E26-I26</f>
        <v>7000.8</v>
      </c>
      <c r="L26" s="103">
        <v>0</v>
      </c>
      <c r="M26" s="103"/>
      <c r="N26" s="103">
        <v>857.15</v>
      </c>
      <c r="O26" s="103">
        <v>-0.04</v>
      </c>
      <c r="P26" s="253">
        <f>ROUND(E26*0.115,2)</f>
        <v>805.09</v>
      </c>
      <c r="Q26" s="103">
        <f t="shared" ref="Q26:Q27" si="19">SUM(N26:P26)+G26</f>
        <v>1662.2</v>
      </c>
      <c r="R26" s="208">
        <f>K26-Q26</f>
        <v>5338.6</v>
      </c>
      <c r="S26" s="170">
        <v>419.125</v>
      </c>
      <c r="T26" s="128">
        <f t="shared" ref="T26:T29" si="20">ROUND(+E26*17.5%,2)+ROUND(E26*3%,2)</f>
        <v>1435.16</v>
      </c>
      <c r="U26" s="244">
        <f t="shared" ref="U26:U29" si="21">ROUND(+E26*2%,2)</f>
        <v>140.02000000000001</v>
      </c>
      <c r="V26" s="129">
        <f t="shared" ref="V26:V27" si="22">SUM(S26:U26)</f>
        <v>1994.3050000000001</v>
      </c>
      <c r="X26" s="169"/>
    </row>
    <row r="27" spans="2:24" ht="21" x14ac:dyDescent="0.35">
      <c r="B27" s="102" t="s">
        <v>112</v>
      </c>
      <c r="C27" s="125" t="s">
        <v>113</v>
      </c>
      <c r="D27" s="158" t="s">
        <v>133</v>
      </c>
      <c r="E27" s="103">
        <v>7000.8</v>
      </c>
      <c r="F27" s="126">
        <v>15</v>
      </c>
      <c r="G27" s="103"/>
      <c r="H27" s="103"/>
      <c r="I27" s="139"/>
      <c r="J27" s="103"/>
      <c r="K27" s="103">
        <f>E27-I27</f>
        <v>7000.8</v>
      </c>
      <c r="L27" s="103">
        <v>0</v>
      </c>
      <c r="M27" s="103"/>
      <c r="N27" s="103">
        <v>857.15</v>
      </c>
      <c r="O27" s="103">
        <v>-0.04</v>
      </c>
      <c r="P27" s="237">
        <f>ROUND(E27*0.115,2)</f>
        <v>805.09</v>
      </c>
      <c r="Q27" s="103">
        <f t="shared" si="19"/>
        <v>1662.2</v>
      </c>
      <c r="R27" s="208">
        <f>K27-Q27</f>
        <v>5338.6</v>
      </c>
      <c r="S27" s="170">
        <v>419.125</v>
      </c>
      <c r="T27" s="128">
        <f t="shared" si="20"/>
        <v>1435.16</v>
      </c>
      <c r="U27" s="244">
        <f t="shared" si="21"/>
        <v>140.02000000000001</v>
      </c>
      <c r="V27" s="129">
        <f t="shared" si="22"/>
        <v>1994.3050000000001</v>
      </c>
      <c r="X27" s="169"/>
    </row>
    <row r="28" spans="2:24" ht="21" x14ac:dyDescent="0.35">
      <c r="B28" s="102" t="s">
        <v>64</v>
      </c>
      <c r="C28" s="125" t="s">
        <v>45</v>
      </c>
      <c r="D28" s="102" t="s">
        <v>122</v>
      </c>
      <c r="E28" s="103">
        <v>7000.8</v>
      </c>
      <c r="F28" s="126">
        <v>15</v>
      </c>
      <c r="G28" s="141"/>
      <c r="H28" s="103"/>
      <c r="I28" s="143"/>
      <c r="J28" s="103"/>
      <c r="K28" s="103">
        <f>E28-I28</f>
        <v>7000.8</v>
      </c>
      <c r="L28" s="103">
        <v>0</v>
      </c>
      <c r="M28" s="103"/>
      <c r="N28" s="103">
        <v>857.15</v>
      </c>
      <c r="O28" s="103">
        <v>0.16</v>
      </c>
      <c r="P28" s="253">
        <f>ROUND(E28*0.115,2)</f>
        <v>805.09</v>
      </c>
      <c r="Q28" s="103">
        <f>SUM(N28:P28)+G28</f>
        <v>1662.4</v>
      </c>
      <c r="R28" s="208">
        <f>K28-Q28</f>
        <v>5338.4</v>
      </c>
      <c r="S28" s="170">
        <v>419.125</v>
      </c>
      <c r="T28" s="128">
        <f t="shared" si="20"/>
        <v>1435.16</v>
      </c>
      <c r="U28" s="244">
        <f t="shared" si="21"/>
        <v>140.02000000000001</v>
      </c>
      <c r="V28" s="129">
        <f>SUM(S28:U28)</f>
        <v>1994.3050000000001</v>
      </c>
      <c r="X28" s="169"/>
    </row>
    <row r="29" spans="2:24" ht="21" x14ac:dyDescent="0.35">
      <c r="B29" s="102" t="s">
        <v>65</v>
      </c>
      <c r="C29" s="125" t="s">
        <v>59</v>
      </c>
      <c r="D29" s="158" t="s">
        <v>134</v>
      </c>
      <c r="E29" s="103">
        <v>7000.8</v>
      </c>
      <c r="F29" s="126">
        <v>15</v>
      </c>
      <c r="G29" s="141"/>
      <c r="H29" s="130"/>
      <c r="I29" s="130"/>
      <c r="J29" s="103"/>
      <c r="K29" s="103">
        <f>E29-I29+H29</f>
        <v>7000.8</v>
      </c>
      <c r="L29" s="103">
        <v>0</v>
      </c>
      <c r="M29" s="103"/>
      <c r="N29" s="103">
        <v>857.15</v>
      </c>
      <c r="O29" s="103">
        <v>-0.04</v>
      </c>
      <c r="P29" s="253">
        <f>ROUND(E29*0.115,2)</f>
        <v>805.09</v>
      </c>
      <c r="Q29" s="103">
        <f>SUM(N29:P29)+G29</f>
        <v>1662.2</v>
      </c>
      <c r="R29" s="208">
        <f>K29-Q29</f>
        <v>5338.6</v>
      </c>
      <c r="S29" s="170">
        <v>419.125</v>
      </c>
      <c r="T29" s="128">
        <f t="shared" si="20"/>
        <v>1435.16</v>
      </c>
      <c r="U29" s="244">
        <f t="shared" si="21"/>
        <v>140.02000000000001</v>
      </c>
      <c r="V29" s="129">
        <f>SUM(S29:U29)</f>
        <v>1994.3050000000001</v>
      </c>
      <c r="X29" s="169"/>
    </row>
    <row r="30" spans="2:24" ht="18.75" x14ac:dyDescent="0.3">
      <c r="B30" s="138" t="s">
        <v>20</v>
      </c>
      <c r="C30" s="132"/>
      <c r="D30" s="133"/>
      <c r="E30" s="135">
        <f>SUM(E26:E29)</f>
        <v>28003.200000000001</v>
      </c>
      <c r="F30" s="135"/>
      <c r="G30" s="135">
        <f>+G29+G28+G26+G27</f>
        <v>0</v>
      </c>
      <c r="H30" s="135"/>
      <c r="I30" s="135">
        <f>SUM(I26:I29)</f>
        <v>0</v>
      </c>
      <c r="J30" s="135">
        <f t="shared" ref="J30" si="23">SUM(J26:J29)</f>
        <v>0</v>
      </c>
      <c r="K30" s="135">
        <f>SUM(K26:K29)</f>
        <v>28003.200000000001</v>
      </c>
      <c r="L30" s="135">
        <f t="shared" ref="L30:V30" si="24">SUM(L26:L29)</f>
        <v>0</v>
      </c>
      <c r="M30" s="135">
        <f t="shared" si="24"/>
        <v>0</v>
      </c>
      <c r="N30" s="135">
        <f t="shared" si="24"/>
        <v>3428.6</v>
      </c>
      <c r="O30" s="135">
        <f t="shared" si="24"/>
        <v>0.04</v>
      </c>
      <c r="P30" s="135">
        <f>SUM(P26:P29)</f>
        <v>3220.36</v>
      </c>
      <c r="Q30" s="135">
        <f t="shared" si="24"/>
        <v>6649</v>
      </c>
      <c r="R30" s="135">
        <f>SUM(R26:R29)</f>
        <v>21354.2</v>
      </c>
      <c r="S30" s="135">
        <f t="shared" si="24"/>
        <v>1676.5</v>
      </c>
      <c r="T30" s="135">
        <f t="shared" si="24"/>
        <v>5740.64</v>
      </c>
      <c r="U30" s="135">
        <f t="shared" si="24"/>
        <v>560.08000000000004</v>
      </c>
      <c r="V30" s="135">
        <f t="shared" si="24"/>
        <v>7977.22</v>
      </c>
      <c r="X30" s="169"/>
    </row>
    <row r="31" spans="2:24" ht="18.75" hidden="1" x14ac:dyDescent="0.3">
      <c r="C31" s="136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37"/>
      <c r="X31" s="169"/>
    </row>
    <row r="32" spans="2:24" ht="18.75" x14ac:dyDescent="0.3">
      <c r="B32" s="138" t="s">
        <v>33</v>
      </c>
      <c r="C32" s="31" t="s">
        <v>32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37"/>
      <c r="X32" s="169"/>
    </row>
    <row r="33" spans="2:24" ht="21" hidden="1" x14ac:dyDescent="0.35">
      <c r="B33" s="102" t="s">
        <v>66</v>
      </c>
      <c r="C33" s="125"/>
      <c r="D33" s="158" t="s">
        <v>128</v>
      </c>
      <c r="E33" s="103"/>
      <c r="F33" s="126"/>
      <c r="G33" s="103"/>
      <c r="H33" s="103"/>
      <c r="I33" s="144"/>
      <c r="J33" s="103"/>
      <c r="K33" s="103"/>
      <c r="L33" s="103"/>
      <c r="M33" s="103"/>
      <c r="N33" s="103"/>
      <c r="O33" s="103"/>
      <c r="P33" s="237"/>
      <c r="Q33" s="103"/>
      <c r="R33" s="190"/>
      <c r="S33" s="170"/>
      <c r="T33" s="128"/>
      <c r="U33" s="244"/>
      <c r="V33" s="129"/>
      <c r="X33" s="169"/>
    </row>
    <row r="34" spans="2:24" ht="21" x14ac:dyDescent="0.35">
      <c r="B34" s="102" t="s">
        <v>67</v>
      </c>
      <c r="C34" s="125" t="s">
        <v>51</v>
      </c>
      <c r="D34" s="158" t="s">
        <v>135</v>
      </c>
      <c r="E34" s="103">
        <v>7000.8</v>
      </c>
      <c r="F34" s="126">
        <v>15</v>
      </c>
      <c r="G34" s="159">
        <v>1556</v>
      </c>
      <c r="H34" s="103"/>
      <c r="I34" s="130"/>
      <c r="J34" s="141"/>
      <c r="K34" s="141">
        <f t="shared" ref="K34:K49" si="25">E34-I34</f>
        <v>7000.8</v>
      </c>
      <c r="L34" s="141">
        <v>0</v>
      </c>
      <c r="M34" s="103"/>
      <c r="N34" s="103">
        <v>857.15</v>
      </c>
      <c r="O34" s="103">
        <v>0.16</v>
      </c>
      <c r="P34" s="237">
        <f t="shared" ref="P34:P41" si="26">ROUND(E34*0.115,2)</f>
        <v>805.09</v>
      </c>
      <c r="Q34" s="103">
        <f>SUM(N34:P34)+G34</f>
        <v>3218.4</v>
      </c>
      <c r="R34" s="208">
        <f t="shared" ref="R34:R49" si="27">K34-Q34</f>
        <v>3782.4</v>
      </c>
      <c r="S34" s="170">
        <v>419.125</v>
      </c>
      <c r="T34" s="128">
        <f t="shared" ref="T34:T41" si="28">ROUND(+E34*17.5%,2)+ROUND(E34*3%,2)</f>
        <v>1435.16</v>
      </c>
      <c r="U34" s="244">
        <f t="shared" ref="U34:U41" si="29">ROUND(+E34*2%,2)</f>
        <v>140.02000000000001</v>
      </c>
      <c r="V34" s="129">
        <f>SUM(S34:U34)</f>
        <v>1994.3050000000001</v>
      </c>
      <c r="X34" s="169"/>
    </row>
    <row r="35" spans="2:24" ht="21" x14ac:dyDescent="0.35">
      <c r="B35" s="102" t="s">
        <v>68</v>
      </c>
      <c r="C35" s="30" t="s">
        <v>194</v>
      </c>
      <c r="D35" s="102" t="s">
        <v>123</v>
      </c>
      <c r="E35" s="103">
        <v>7443.8</v>
      </c>
      <c r="F35" s="126">
        <v>15</v>
      </c>
      <c r="G35" s="103"/>
      <c r="H35" s="103"/>
      <c r="I35" s="130"/>
      <c r="J35" s="103"/>
      <c r="K35" s="103">
        <f t="shared" si="25"/>
        <v>7443.8</v>
      </c>
      <c r="L35" s="103">
        <v>0</v>
      </c>
      <c r="M35" s="103"/>
      <c r="N35" s="103">
        <v>951.78</v>
      </c>
      <c r="O35" s="103">
        <v>0.02</v>
      </c>
      <c r="P35" s="141"/>
      <c r="Q35" s="103">
        <f t="shared" ref="Q35:Q40" si="30">SUM(N35:P35)+G35</f>
        <v>951.8</v>
      </c>
      <c r="R35" s="208">
        <f t="shared" si="27"/>
        <v>6492</v>
      </c>
      <c r="S35" s="170">
        <v>432.30499999999995</v>
      </c>
      <c r="T35" s="128"/>
      <c r="U35" s="128"/>
      <c r="V35" s="129">
        <f t="shared" ref="V35:V43" si="31">SUM(S35:U35)</f>
        <v>432.30499999999995</v>
      </c>
      <c r="X35" s="169"/>
    </row>
    <row r="36" spans="2:24" ht="21" x14ac:dyDescent="0.35">
      <c r="B36" s="102" t="s">
        <v>77</v>
      </c>
      <c r="C36" s="125" t="s">
        <v>111</v>
      </c>
      <c r="D36" s="102" t="s">
        <v>127</v>
      </c>
      <c r="E36" s="103">
        <v>7000.8</v>
      </c>
      <c r="F36" s="126">
        <v>15</v>
      </c>
      <c r="G36" s="159">
        <v>1167</v>
      </c>
      <c r="H36" s="103"/>
      <c r="I36" s="144"/>
      <c r="J36" s="103"/>
      <c r="K36" s="103">
        <f>E36-I36</f>
        <v>7000.8</v>
      </c>
      <c r="L36" s="103">
        <v>0</v>
      </c>
      <c r="M36" s="103"/>
      <c r="N36" s="103">
        <v>857.15</v>
      </c>
      <c r="O36" s="103">
        <v>-0.04</v>
      </c>
      <c r="P36" s="237">
        <f t="shared" si="26"/>
        <v>805.09</v>
      </c>
      <c r="Q36" s="103">
        <f>SUM(N36:P36)+G36</f>
        <v>2829.2</v>
      </c>
      <c r="R36" s="208">
        <f>K36-Q36</f>
        <v>4171.6000000000004</v>
      </c>
      <c r="S36" s="170">
        <v>419.125</v>
      </c>
      <c r="T36" s="128">
        <f t="shared" si="28"/>
        <v>1435.16</v>
      </c>
      <c r="U36" s="244">
        <f t="shared" si="29"/>
        <v>140.02000000000001</v>
      </c>
      <c r="V36" s="129">
        <f t="shared" si="31"/>
        <v>1994.3050000000001</v>
      </c>
      <c r="X36" s="169"/>
    </row>
    <row r="37" spans="2:24" ht="21" x14ac:dyDescent="0.35">
      <c r="B37" s="102" t="s">
        <v>70</v>
      </c>
      <c r="C37" s="125" t="s">
        <v>46</v>
      </c>
      <c r="D37" s="102" t="s">
        <v>124</v>
      </c>
      <c r="E37" s="103">
        <v>7000.8</v>
      </c>
      <c r="F37" s="126">
        <v>15</v>
      </c>
      <c r="G37" s="159">
        <v>1945</v>
      </c>
      <c r="H37" s="103"/>
      <c r="I37" s="139">
        <v>1.1100000000000001</v>
      </c>
      <c r="J37" s="141"/>
      <c r="K37" s="141">
        <f t="shared" si="25"/>
        <v>6999.6900000000005</v>
      </c>
      <c r="L37" s="141">
        <v>0</v>
      </c>
      <c r="M37" s="103"/>
      <c r="N37" s="103">
        <v>857.15</v>
      </c>
      <c r="O37" s="103">
        <v>0.05</v>
      </c>
      <c r="P37" s="237">
        <f t="shared" si="26"/>
        <v>805.09</v>
      </c>
      <c r="Q37" s="103">
        <f t="shared" si="30"/>
        <v>3607.29</v>
      </c>
      <c r="R37" s="208">
        <f t="shared" si="27"/>
        <v>3392.4000000000005</v>
      </c>
      <c r="S37" s="170">
        <v>419.125</v>
      </c>
      <c r="T37" s="128">
        <f t="shared" si="28"/>
        <v>1435.16</v>
      </c>
      <c r="U37" s="244">
        <f t="shared" si="29"/>
        <v>140.02000000000001</v>
      </c>
      <c r="V37" s="129">
        <f t="shared" si="31"/>
        <v>1994.3050000000001</v>
      </c>
      <c r="X37" s="169"/>
    </row>
    <row r="38" spans="2:24" ht="21" x14ac:dyDescent="0.35">
      <c r="B38" s="102" t="s">
        <v>71</v>
      </c>
      <c r="C38" s="125" t="s">
        <v>50</v>
      </c>
      <c r="D38" s="102" t="s">
        <v>124</v>
      </c>
      <c r="E38" s="103">
        <v>7000.8</v>
      </c>
      <c r="F38" s="126">
        <v>15</v>
      </c>
      <c r="G38" s="159">
        <v>2917</v>
      </c>
      <c r="H38" s="141"/>
      <c r="I38" s="130"/>
      <c r="J38" s="141"/>
      <c r="K38" s="141">
        <f t="shared" si="25"/>
        <v>7000.8</v>
      </c>
      <c r="L38" s="141">
        <v>0</v>
      </c>
      <c r="M38" s="103"/>
      <c r="N38" s="103">
        <v>857.15</v>
      </c>
      <c r="O38" s="103">
        <v>-0.04</v>
      </c>
      <c r="P38" s="237">
        <f t="shared" si="26"/>
        <v>805.09</v>
      </c>
      <c r="Q38" s="103">
        <f t="shared" si="30"/>
        <v>4579.2</v>
      </c>
      <c r="R38" s="208">
        <f t="shared" si="27"/>
        <v>2421.6000000000004</v>
      </c>
      <c r="S38" s="170">
        <v>419.125</v>
      </c>
      <c r="T38" s="128">
        <f t="shared" si="28"/>
        <v>1435.16</v>
      </c>
      <c r="U38" s="244">
        <f t="shared" si="29"/>
        <v>140.02000000000001</v>
      </c>
      <c r="V38" s="129">
        <f t="shared" si="31"/>
        <v>1994.3050000000001</v>
      </c>
      <c r="X38" s="169"/>
    </row>
    <row r="39" spans="2:24" ht="21" x14ac:dyDescent="0.35">
      <c r="B39" s="102" t="s">
        <v>72</v>
      </c>
      <c r="C39" s="30" t="s">
        <v>195</v>
      </c>
      <c r="D39" s="102" t="s">
        <v>124</v>
      </c>
      <c r="E39" s="103">
        <v>7000.8</v>
      </c>
      <c r="F39" s="126">
        <v>15</v>
      </c>
      <c r="G39" s="103"/>
      <c r="H39" s="103"/>
      <c r="I39" s="139"/>
      <c r="J39" s="141"/>
      <c r="K39" s="141">
        <f t="shared" si="25"/>
        <v>7000.8</v>
      </c>
      <c r="L39" s="141">
        <v>0</v>
      </c>
      <c r="M39" s="103"/>
      <c r="N39" s="103">
        <v>857.15</v>
      </c>
      <c r="O39" s="103">
        <v>0.05</v>
      </c>
      <c r="P39" s="141"/>
      <c r="Q39" s="103">
        <f t="shared" si="30"/>
        <v>857.19999999999993</v>
      </c>
      <c r="R39" s="208">
        <f t="shared" si="27"/>
        <v>6143.6</v>
      </c>
      <c r="S39" s="170">
        <v>419.125</v>
      </c>
      <c r="T39" s="128"/>
      <c r="U39" s="128"/>
      <c r="V39" s="129">
        <f t="shared" si="31"/>
        <v>419.125</v>
      </c>
      <c r="X39" s="169"/>
    </row>
    <row r="40" spans="2:24" s="162" customFormat="1" ht="21" x14ac:dyDescent="0.35">
      <c r="B40" s="7" t="s">
        <v>73</v>
      </c>
      <c r="C40" s="30" t="s">
        <v>47</v>
      </c>
      <c r="D40" s="7" t="s">
        <v>125</v>
      </c>
      <c r="E40" s="103">
        <v>7000.8</v>
      </c>
      <c r="F40" s="126">
        <v>15</v>
      </c>
      <c r="G40" s="103"/>
      <c r="H40" s="103"/>
      <c r="I40" s="139"/>
      <c r="J40" s="141"/>
      <c r="K40" s="141">
        <f t="shared" si="25"/>
        <v>7000.8</v>
      </c>
      <c r="L40" s="141">
        <v>0</v>
      </c>
      <c r="M40" s="103"/>
      <c r="N40" s="103">
        <v>857.15</v>
      </c>
      <c r="O40" s="103">
        <v>-0.04</v>
      </c>
      <c r="P40" s="237">
        <f t="shared" si="26"/>
        <v>805.09</v>
      </c>
      <c r="Q40" s="103">
        <f t="shared" si="30"/>
        <v>1662.2</v>
      </c>
      <c r="R40" s="208">
        <f t="shared" si="27"/>
        <v>5338.6</v>
      </c>
      <c r="S40" s="170">
        <v>419.125</v>
      </c>
      <c r="T40" s="128">
        <f t="shared" si="28"/>
        <v>1435.16</v>
      </c>
      <c r="U40" s="244">
        <f t="shared" si="29"/>
        <v>140.02000000000001</v>
      </c>
      <c r="V40" s="129">
        <f t="shared" si="31"/>
        <v>1994.3050000000001</v>
      </c>
      <c r="X40" s="128"/>
    </row>
    <row r="41" spans="2:24" ht="21" x14ac:dyDescent="0.35">
      <c r="B41" s="102" t="s">
        <v>74</v>
      </c>
      <c r="C41" s="125" t="s">
        <v>53</v>
      </c>
      <c r="D41" s="102" t="s">
        <v>125</v>
      </c>
      <c r="E41" s="103">
        <v>7000.8</v>
      </c>
      <c r="F41" s="126">
        <v>15</v>
      </c>
      <c r="G41" s="141"/>
      <c r="H41" s="103"/>
      <c r="I41" s="139"/>
      <c r="J41" s="103"/>
      <c r="K41" s="103">
        <f t="shared" si="25"/>
        <v>7000.8</v>
      </c>
      <c r="L41" s="103">
        <v>0</v>
      </c>
      <c r="M41" s="103"/>
      <c r="N41" s="103">
        <v>857.15</v>
      </c>
      <c r="O41" s="103">
        <v>-0.04</v>
      </c>
      <c r="P41" s="237">
        <f t="shared" si="26"/>
        <v>805.09</v>
      </c>
      <c r="Q41" s="103">
        <f>SUM(N41:P41)+G41</f>
        <v>1662.2</v>
      </c>
      <c r="R41" s="208">
        <f t="shared" si="27"/>
        <v>5338.6</v>
      </c>
      <c r="S41" s="170">
        <v>419.125</v>
      </c>
      <c r="T41" s="128">
        <f t="shared" si="28"/>
        <v>1435.16</v>
      </c>
      <c r="U41" s="244">
        <f t="shared" si="29"/>
        <v>140.02000000000001</v>
      </c>
      <c r="V41" s="129">
        <f t="shared" si="31"/>
        <v>1994.3050000000001</v>
      </c>
      <c r="X41" s="169"/>
    </row>
    <row r="42" spans="2:24" ht="21" x14ac:dyDescent="0.35">
      <c r="B42" s="102" t="s">
        <v>75</v>
      </c>
      <c r="C42" s="30" t="s">
        <v>203</v>
      </c>
      <c r="D42" s="102" t="s">
        <v>126</v>
      </c>
      <c r="E42" s="103">
        <v>7000.8</v>
      </c>
      <c r="F42" s="126">
        <v>15</v>
      </c>
      <c r="G42" s="141"/>
      <c r="H42" s="103"/>
      <c r="I42" s="144"/>
      <c r="J42" s="103"/>
      <c r="K42" s="103">
        <f t="shared" si="25"/>
        <v>7000.8</v>
      </c>
      <c r="L42" s="103">
        <v>0</v>
      </c>
      <c r="M42" s="103"/>
      <c r="N42" s="103">
        <v>857.15</v>
      </c>
      <c r="O42" s="103">
        <v>0.05</v>
      </c>
      <c r="P42" s="141"/>
      <c r="Q42" s="103">
        <f>SUM(N42:P42)+G42</f>
        <v>857.19999999999993</v>
      </c>
      <c r="R42" s="208">
        <f t="shared" si="27"/>
        <v>6143.6</v>
      </c>
      <c r="S42" s="170">
        <v>419.125</v>
      </c>
      <c r="T42" s="128"/>
      <c r="U42" s="128"/>
      <c r="V42" s="129">
        <f t="shared" si="31"/>
        <v>419.125</v>
      </c>
      <c r="X42" s="169"/>
    </row>
    <row r="43" spans="2:24" ht="21" x14ac:dyDescent="0.35">
      <c r="B43" s="102" t="s">
        <v>76</v>
      </c>
      <c r="C43" s="30" t="s">
        <v>205</v>
      </c>
      <c r="D43" s="102" t="s">
        <v>126</v>
      </c>
      <c r="E43" s="103">
        <v>7000.8</v>
      </c>
      <c r="F43" s="126">
        <v>15</v>
      </c>
      <c r="G43" s="141"/>
      <c r="H43" s="103"/>
      <c r="I43" s="144">
        <v>467.83</v>
      </c>
      <c r="J43" s="103"/>
      <c r="K43" s="103">
        <f t="shared" si="25"/>
        <v>6532.97</v>
      </c>
      <c r="L43" s="103">
        <v>0</v>
      </c>
      <c r="M43" s="103"/>
      <c r="N43" s="103">
        <v>857.15</v>
      </c>
      <c r="O43" s="103">
        <v>0.02</v>
      </c>
      <c r="P43" s="141"/>
      <c r="Q43" s="103">
        <f>SUM(N43:P43)+G43</f>
        <v>857.17</v>
      </c>
      <c r="R43" s="208">
        <f t="shared" si="27"/>
        <v>5675.8</v>
      </c>
      <c r="S43" s="170">
        <v>419.125</v>
      </c>
      <c r="T43" s="128"/>
      <c r="U43" s="128"/>
      <c r="V43" s="129">
        <f t="shared" si="31"/>
        <v>419.125</v>
      </c>
      <c r="X43" s="169"/>
    </row>
    <row r="44" spans="2:24" ht="21" x14ac:dyDescent="0.35">
      <c r="B44" s="158" t="s">
        <v>150</v>
      </c>
      <c r="C44" s="30" t="s">
        <v>171</v>
      </c>
      <c r="D44" s="158" t="s">
        <v>109</v>
      </c>
      <c r="E44" s="103">
        <v>7000.8</v>
      </c>
      <c r="F44" s="126">
        <v>15</v>
      </c>
      <c r="G44" s="141"/>
      <c r="H44" s="103"/>
      <c r="I44" s="144"/>
      <c r="J44" s="103"/>
      <c r="K44" s="103">
        <f t="shared" si="25"/>
        <v>7000.8</v>
      </c>
      <c r="L44" s="103">
        <v>0</v>
      </c>
      <c r="M44" s="103"/>
      <c r="N44" s="103">
        <v>857.15</v>
      </c>
      <c r="O44" s="103">
        <v>-0.15</v>
      </c>
      <c r="P44" s="141">
        <v>0.2</v>
      </c>
      <c r="Q44" s="103">
        <f t="shared" ref="Q44:Q47" si="32">SUM(N44:P44)+G44</f>
        <v>857.2</v>
      </c>
      <c r="R44" s="208">
        <f t="shared" si="27"/>
        <v>6143.6</v>
      </c>
      <c r="S44" s="170">
        <v>419.125</v>
      </c>
      <c r="T44" s="128"/>
      <c r="U44" s="128"/>
      <c r="V44" s="129">
        <f t="shared" ref="V44:V47" si="33">SUM(S44:U44)</f>
        <v>419.125</v>
      </c>
      <c r="X44" s="169"/>
    </row>
    <row r="45" spans="2:24" ht="21" x14ac:dyDescent="0.35">
      <c r="B45" s="158" t="s">
        <v>151</v>
      </c>
      <c r="C45" s="30" t="s">
        <v>172</v>
      </c>
      <c r="D45" s="158" t="s">
        <v>109</v>
      </c>
      <c r="E45" s="103">
        <v>7000.8</v>
      </c>
      <c r="F45" s="126">
        <v>15</v>
      </c>
      <c r="G45" s="141"/>
      <c r="H45" s="103"/>
      <c r="I45" s="144"/>
      <c r="J45" s="103"/>
      <c r="K45" s="103">
        <f t="shared" si="25"/>
        <v>7000.8</v>
      </c>
      <c r="L45" s="103">
        <v>0</v>
      </c>
      <c r="M45" s="103"/>
      <c r="N45" s="103">
        <v>857.15</v>
      </c>
      <c r="O45" s="103">
        <v>-7.0000000000000007E-2</v>
      </c>
      <c r="P45" s="237">
        <v>805.12</v>
      </c>
      <c r="Q45" s="103">
        <f>SUM(N45:P45)+G45</f>
        <v>1662.1999999999998</v>
      </c>
      <c r="R45" s="208">
        <f t="shared" si="27"/>
        <v>5338.6</v>
      </c>
      <c r="S45" s="170">
        <v>419.125</v>
      </c>
      <c r="T45" s="128">
        <f t="shared" ref="T45:T47" si="34">ROUND(+E45*17.5%,2)+ROUND(E45*3%,2)</f>
        <v>1435.16</v>
      </c>
      <c r="U45" s="244">
        <f t="shared" ref="U45:U47" si="35">ROUND(+E45*2%,2)</f>
        <v>140.02000000000001</v>
      </c>
      <c r="V45" s="129">
        <f t="shared" ref="V45:V46" si="36">SUM(S45:U45)</f>
        <v>1994.3050000000001</v>
      </c>
      <c r="X45" s="169"/>
    </row>
    <row r="46" spans="2:24" ht="21" x14ac:dyDescent="0.35">
      <c r="B46" s="158" t="s">
        <v>152</v>
      </c>
      <c r="C46" s="30" t="s">
        <v>173</v>
      </c>
      <c r="D46" s="158" t="s">
        <v>109</v>
      </c>
      <c r="E46" s="103">
        <v>7000.8</v>
      </c>
      <c r="F46" s="126">
        <v>14</v>
      </c>
      <c r="G46" s="141"/>
      <c r="H46" s="103"/>
      <c r="I46" s="144"/>
      <c r="J46" s="103"/>
      <c r="K46" s="103">
        <f t="shared" si="25"/>
        <v>7000.8</v>
      </c>
      <c r="L46" s="103">
        <v>0</v>
      </c>
      <c r="M46" s="103"/>
      <c r="N46" s="103">
        <v>857.15</v>
      </c>
      <c r="O46" s="103">
        <v>-7.0000000000000007E-2</v>
      </c>
      <c r="P46" s="237">
        <v>805.12</v>
      </c>
      <c r="Q46" s="103">
        <f>SUM(N46:P46)+G46</f>
        <v>1662.1999999999998</v>
      </c>
      <c r="R46" s="208">
        <f t="shared" si="27"/>
        <v>5338.6</v>
      </c>
      <c r="S46" s="170">
        <v>419.125</v>
      </c>
      <c r="T46" s="128">
        <f t="shared" si="34"/>
        <v>1435.16</v>
      </c>
      <c r="U46" s="244">
        <f t="shared" si="35"/>
        <v>140.02000000000001</v>
      </c>
      <c r="V46" s="129">
        <f t="shared" si="36"/>
        <v>1994.3050000000001</v>
      </c>
      <c r="X46" s="169"/>
    </row>
    <row r="47" spans="2:24" ht="21" x14ac:dyDescent="0.35">
      <c r="B47" s="158" t="s">
        <v>198</v>
      </c>
      <c r="C47" s="30" t="s">
        <v>48</v>
      </c>
      <c r="D47" s="158" t="s">
        <v>109</v>
      </c>
      <c r="E47" s="103">
        <v>7000.8</v>
      </c>
      <c r="F47" s="126">
        <v>15</v>
      </c>
      <c r="G47" s="141"/>
      <c r="H47" s="103"/>
      <c r="I47" s="144"/>
      <c r="J47" s="103"/>
      <c r="K47" s="103">
        <f t="shared" si="25"/>
        <v>7000.8</v>
      </c>
      <c r="L47" s="103">
        <v>0</v>
      </c>
      <c r="M47" s="103"/>
      <c r="N47" s="103">
        <v>857.15</v>
      </c>
      <c r="O47" s="103">
        <v>-0.04</v>
      </c>
      <c r="P47" s="237">
        <f t="shared" ref="P47" si="37">ROUND(E47*0.115,2)</f>
        <v>805.09</v>
      </c>
      <c r="Q47" s="103">
        <f t="shared" si="32"/>
        <v>1662.2</v>
      </c>
      <c r="R47" s="256">
        <f t="shared" si="27"/>
        <v>5338.6</v>
      </c>
      <c r="S47" s="170">
        <v>419.125</v>
      </c>
      <c r="T47" s="128">
        <f t="shared" si="34"/>
        <v>1435.16</v>
      </c>
      <c r="U47" s="244">
        <f t="shared" si="35"/>
        <v>140.02000000000001</v>
      </c>
      <c r="V47" s="129">
        <f t="shared" si="33"/>
        <v>1994.3050000000001</v>
      </c>
      <c r="X47" s="169"/>
    </row>
    <row r="48" spans="2:24" ht="21" x14ac:dyDescent="0.35">
      <c r="B48" s="158" t="s">
        <v>208</v>
      </c>
      <c r="C48" s="30" t="s">
        <v>211</v>
      </c>
      <c r="D48" s="158" t="s">
        <v>109</v>
      </c>
      <c r="E48" s="103">
        <v>7000.8</v>
      </c>
      <c r="F48" s="126">
        <v>15</v>
      </c>
      <c r="G48" s="103"/>
      <c r="H48" s="103"/>
      <c r="I48" s="139">
        <v>3.33</v>
      </c>
      <c r="J48" s="141"/>
      <c r="K48" s="141">
        <f t="shared" si="25"/>
        <v>6997.47</v>
      </c>
      <c r="L48" s="141">
        <v>0</v>
      </c>
      <c r="M48" s="103"/>
      <c r="N48" s="103">
        <v>857.15</v>
      </c>
      <c r="O48" s="103">
        <v>0.12</v>
      </c>
      <c r="P48" s="141"/>
      <c r="Q48" s="103">
        <f t="shared" ref="Q48" si="38">SUM(N48:P48)+G48</f>
        <v>857.27</v>
      </c>
      <c r="R48" s="208">
        <f t="shared" si="27"/>
        <v>6140.2000000000007</v>
      </c>
      <c r="S48" s="170">
        <v>419.125</v>
      </c>
      <c r="T48" s="128"/>
      <c r="U48" s="128"/>
      <c r="V48" s="129">
        <f t="shared" ref="V48" si="39">SUM(S48:U48)</f>
        <v>419.125</v>
      </c>
      <c r="X48" s="169"/>
    </row>
    <row r="49" spans="1:24" ht="21" x14ac:dyDescent="0.35">
      <c r="B49" s="158" t="s">
        <v>209</v>
      </c>
      <c r="C49" s="30" t="s">
        <v>212</v>
      </c>
      <c r="D49" s="158" t="s">
        <v>210</v>
      </c>
      <c r="E49" s="103">
        <v>4358.17</v>
      </c>
      <c r="F49" s="126">
        <v>15</v>
      </c>
      <c r="G49" s="141"/>
      <c r="H49" s="103"/>
      <c r="I49" s="32"/>
      <c r="J49" s="103"/>
      <c r="K49" s="103">
        <f t="shared" si="25"/>
        <v>4358.17</v>
      </c>
      <c r="L49" s="103"/>
      <c r="M49" s="103"/>
      <c r="N49" s="103">
        <v>357.97</v>
      </c>
      <c r="O49" s="103">
        <v>0</v>
      </c>
      <c r="P49" s="141"/>
      <c r="Q49" s="103">
        <f t="shared" ref="Q49" si="40">SUM(N49:P49)+G49</f>
        <v>357.97</v>
      </c>
      <c r="R49" s="248">
        <f t="shared" si="27"/>
        <v>4000.2</v>
      </c>
      <c r="S49" s="29">
        <v>326.7</v>
      </c>
      <c r="T49" s="128"/>
      <c r="U49" s="244"/>
      <c r="V49" s="129">
        <f t="shared" ref="V49" si="41">SUM(S49:U49)</f>
        <v>326.7</v>
      </c>
      <c r="X49" s="169"/>
    </row>
    <row r="50" spans="1:24" ht="18.75" x14ac:dyDescent="0.3">
      <c r="B50" s="138" t="s">
        <v>20</v>
      </c>
      <c r="C50" s="132"/>
      <c r="D50" s="133"/>
      <c r="E50" s="135">
        <f t="shared" ref="E50:J50" si="42">SUM(E33:E47)</f>
        <v>98454.200000000026</v>
      </c>
      <c r="F50" s="135">
        <f t="shared" si="42"/>
        <v>209</v>
      </c>
      <c r="G50" s="135">
        <f>SUM(G33:G49)</f>
        <v>7585</v>
      </c>
      <c r="H50" s="135">
        <f t="shared" si="42"/>
        <v>0</v>
      </c>
      <c r="I50" s="135">
        <f>SUM(I33:J49)</f>
        <v>472.27</v>
      </c>
      <c r="J50" s="135">
        <f t="shared" si="42"/>
        <v>0</v>
      </c>
      <c r="K50" s="135">
        <f>SUM(K33:K49)</f>
        <v>109340.90000000002</v>
      </c>
      <c r="L50" s="135">
        <f t="shared" ref="L50:V50" si="43">SUM(L33:L49)</f>
        <v>0</v>
      </c>
      <c r="M50" s="135">
        <f t="shared" si="43"/>
        <v>0</v>
      </c>
      <c r="N50" s="135">
        <f t="shared" si="43"/>
        <v>13309.849999999997</v>
      </c>
      <c r="O50" s="135">
        <f t="shared" si="43"/>
        <v>-2.0000000000000046E-2</v>
      </c>
      <c r="P50" s="135">
        <f>SUM(P33:P49)</f>
        <v>7246.07</v>
      </c>
      <c r="Q50" s="135">
        <f t="shared" si="43"/>
        <v>28140.900000000005</v>
      </c>
      <c r="R50" s="135">
        <f>SUM(R33:R49)</f>
        <v>81200</v>
      </c>
      <c r="S50" s="135">
        <f t="shared" si="43"/>
        <v>6626.7550000000001</v>
      </c>
      <c r="T50" s="135">
        <f t="shared" si="43"/>
        <v>12916.44</v>
      </c>
      <c r="U50" s="135">
        <f t="shared" si="43"/>
        <v>1260.18</v>
      </c>
      <c r="V50" s="135">
        <f t="shared" si="43"/>
        <v>20803.375</v>
      </c>
      <c r="X50" s="169"/>
    </row>
    <row r="51" spans="1:24" ht="18.75" hidden="1" x14ac:dyDescent="0.3">
      <c r="C51" s="136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37"/>
      <c r="X51" s="169"/>
    </row>
    <row r="52" spans="1:24" ht="18.75" x14ac:dyDescent="0.3">
      <c r="B52" s="138" t="s">
        <v>78</v>
      </c>
      <c r="C52" s="31" t="s">
        <v>34</v>
      </c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37"/>
      <c r="X52" s="169"/>
    </row>
    <row r="53" spans="1:24" ht="21" x14ac:dyDescent="0.35">
      <c r="B53" s="102" t="s">
        <v>69</v>
      </c>
      <c r="C53" s="125" t="s">
        <v>196</v>
      </c>
      <c r="D53" s="102" t="s">
        <v>130</v>
      </c>
      <c r="E53" s="103">
        <v>7443.8</v>
      </c>
      <c r="F53" s="126">
        <v>15</v>
      </c>
      <c r="G53" s="137"/>
      <c r="H53" s="103"/>
      <c r="I53" s="144"/>
      <c r="J53" s="141"/>
      <c r="K53" s="141">
        <f t="shared" ref="K53" si="44">E53-I53</f>
        <v>7443.8</v>
      </c>
      <c r="L53" s="141"/>
      <c r="M53" s="103"/>
      <c r="N53" s="103">
        <v>951.78</v>
      </c>
      <c r="O53" s="103">
        <v>0.02</v>
      </c>
      <c r="P53" s="141"/>
      <c r="Q53" s="103">
        <f t="shared" ref="Q53" si="45">SUM(N53:P53)+G53</f>
        <v>951.8</v>
      </c>
      <c r="R53" s="208">
        <f t="shared" ref="R53:R54" si="46">K53-Q53</f>
        <v>6492</v>
      </c>
      <c r="S53" s="170">
        <v>432.30499999999995</v>
      </c>
      <c r="T53" s="128"/>
      <c r="U53" s="128"/>
      <c r="V53" s="129">
        <f t="shared" ref="V53:V58" si="47">SUM(S53:U53)</f>
        <v>432.30499999999995</v>
      </c>
      <c r="X53" s="169"/>
    </row>
    <row r="54" spans="1:24" ht="21" x14ac:dyDescent="0.35">
      <c r="B54" s="102" t="s">
        <v>81</v>
      </c>
      <c r="C54" s="125" t="s">
        <v>168</v>
      </c>
      <c r="D54" s="102" t="s">
        <v>128</v>
      </c>
      <c r="E54" s="103">
        <v>7000.8</v>
      </c>
      <c r="F54" s="126">
        <v>15</v>
      </c>
      <c r="G54" s="141"/>
      <c r="H54" s="103"/>
      <c r="I54" s="144">
        <v>11.1</v>
      </c>
      <c r="J54" s="103"/>
      <c r="K54" s="103">
        <f>E54-I54</f>
        <v>6989.7</v>
      </c>
      <c r="L54" s="103"/>
      <c r="M54" s="103"/>
      <c r="N54" s="103">
        <v>857.15</v>
      </c>
      <c r="O54" s="103">
        <v>0.03</v>
      </c>
      <c r="P54" s="237">
        <v>805.12</v>
      </c>
      <c r="Q54" s="103">
        <f>SUM(N54:P54)+G54</f>
        <v>1662.3</v>
      </c>
      <c r="R54" s="208">
        <f t="shared" si="46"/>
        <v>5327.4</v>
      </c>
      <c r="S54" s="170">
        <v>419.125</v>
      </c>
      <c r="T54" s="128">
        <f t="shared" ref="T54:T55" si="48">ROUND(+E54*17.5%,2)+ROUND(E54*3%,2)</f>
        <v>1435.16</v>
      </c>
      <c r="U54" s="244">
        <f t="shared" ref="U54:U55" si="49">ROUND(+E54*2%,2)</f>
        <v>140.02000000000001</v>
      </c>
      <c r="V54" s="129">
        <f t="shared" ref="V54" si="50">SUM(S54:U54)</f>
        <v>1994.3050000000001</v>
      </c>
      <c r="X54" s="169"/>
    </row>
    <row r="55" spans="1:24" ht="21" x14ac:dyDescent="0.35">
      <c r="B55" s="102" t="s">
        <v>107</v>
      </c>
      <c r="C55" s="125" t="s">
        <v>108</v>
      </c>
      <c r="D55" s="102" t="s">
        <v>109</v>
      </c>
      <c r="E55" s="103">
        <v>7000.8</v>
      </c>
      <c r="F55" s="126">
        <v>15</v>
      </c>
      <c r="G55" s="103"/>
      <c r="H55" s="103"/>
      <c r="I55" s="144">
        <v>5.55</v>
      </c>
      <c r="J55" s="103"/>
      <c r="K55" s="103">
        <f>E55-I55</f>
        <v>6995.25</v>
      </c>
      <c r="L55" s="103"/>
      <c r="M55" s="103"/>
      <c r="N55" s="103">
        <v>857.15</v>
      </c>
      <c r="O55" s="103">
        <v>0.01</v>
      </c>
      <c r="P55" s="253">
        <f>ROUND(E55*0.115,2)</f>
        <v>805.09</v>
      </c>
      <c r="Q55" s="103">
        <f>SUM(N55:P55)+G55</f>
        <v>1662.25</v>
      </c>
      <c r="R55" s="208">
        <f>K55-Q55</f>
        <v>5333</v>
      </c>
      <c r="S55" s="170">
        <v>419.125</v>
      </c>
      <c r="T55" s="128">
        <f t="shared" si="48"/>
        <v>1435.16</v>
      </c>
      <c r="U55" s="244">
        <f t="shared" si="49"/>
        <v>140.02000000000001</v>
      </c>
      <c r="V55" s="129">
        <f t="shared" si="47"/>
        <v>1994.3050000000001</v>
      </c>
      <c r="X55" s="169"/>
    </row>
    <row r="56" spans="1:24" ht="31.5" x14ac:dyDescent="0.35">
      <c r="A56" s="102" t="s">
        <v>179</v>
      </c>
      <c r="B56" s="158" t="s">
        <v>156</v>
      </c>
      <c r="C56" s="30" t="s">
        <v>183</v>
      </c>
      <c r="D56" s="198" t="s">
        <v>160</v>
      </c>
      <c r="E56" s="103">
        <v>6791.5</v>
      </c>
      <c r="F56" s="126">
        <v>15</v>
      </c>
      <c r="G56" s="141"/>
      <c r="H56" s="103"/>
      <c r="I56" s="144"/>
      <c r="J56" s="103"/>
      <c r="K56" s="103">
        <f t="shared" ref="K56:K58" si="51">E56-I56</f>
        <v>6791.5</v>
      </c>
      <c r="L56" s="103"/>
      <c r="M56" s="103"/>
      <c r="N56" s="103">
        <v>812.45</v>
      </c>
      <c r="O56" s="103">
        <v>0.05</v>
      </c>
      <c r="P56" s="141"/>
      <c r="Q56" s="103">
        <f t="shared" ref="Q56" si="52">SUM(N56:P56)+G56</f>
        <v>812.5</v>
      </c>
      <c r="R56" s="208">
        <f t="shared" ref="R56:R57" si="53">K56-Q56</f>
        <v>5979</v>
      </c>
      <c r="S56" s="170">
        <v>412.89499999999998</v>
      </c>
      <c r="T56" s="128"/>
      <c r="U56" s="128"/>
      <c r="V56" s="129">
        <f t="shared" ref="V56" si="54">SUM(S56:U56)</f>
        <v>412.89499999999998</v>
      </c>
      <c r="X56" s="169"/>
    </row>
    <row r="57" spans="1:24" ht="31.5" x14ac:dyDescent="0.35">
      <c r="B57" s="158" t="s">
        <v>157</v>
      </c>
      <c r="C57" s="30" t="s">
        <v>197</v>
      </c>
      <c r="D57" s="198" t="s">
        <v>160</v>
      </c>
      <c r="E57" s="103">
        <v>6791.5</v>
      </c>
      <c r="F57" s="126">
        <v>13</v>
      </c>
      <c r="G57" s="141"/>
      <c r="H57" s="103"/>
      <c r="I57" s="144">
        <v>8.6199999999999992</v>
      </c>
      <c r="J57" s="103"/>
      <c r="K57" s="103">
        <f t="shared" si="51"/>
        <v>6782.88</v>
      </c>
      <c r="L57" s="103"/>
      <c r="M57" s="103"/>
      <c r="N57" s="103">
        <v>812.45</v>
      </c>
      <c r="O57" s="103">
        <v>-0.05</v>
      </c>
      <c r="P57" s="141">
        <v>0.08</v>
      </c>
      <c r="Q57" s="103">
        <f t="shared" ref="Q57" si="55">SUM(N57:P57)+G57</f>
        <v>812.48000000000013</v>
      </c>
      <c r="R57" s="208">
        <f t="shared" si="53"/>
        <v>5970.4</v>
      </c>
      <c r="S57" s="170">
        <v>412.89499999999998</v>
      </c>
      <c r="T57" s="128"/>
      <c r="U57" s="128"/>
      <c r="V57" s="129">
        <f t="shared" si="47"/>
        <v>412.89499999999998</v>
      </c>
      <c r="X57" s="169"/>
    </row>
    <row r="58" spans="1:24" ht="31.5" x14ac:dyDescent="0.35">
      <c r="B58" s="158" t="s">
        <v>158</v>
      </c>
      <c r="C58" s="30" t="s">
        <v>169</v>
      </c>
      <c r="D58" s="198" t="s">
        <v>160</v>
      </c>
      <c r="E58" s="103">
        <v>6791.5</v>
      </c>
      <c r="F58" s="126">
        <v>15</v>
      </c>
      <c r="G58" s="103"/>
      <c r="H58" s="103"/>
      <c r="I58" s="144"/>
      <c r="J58" s="103"/>
      <c r="K58" s="103">
        <f t="shared" si="51"/>
        <v>6791.5</v>
      </c>
      <c r="L58" s="103"/>
      <c r="M58" s="103"/>
      <c r="N58" s="103">
        <v>812.45</v>
      </c>
      <c r="O58" s="103">
        <v>0.03</v>
      </c>
      <c r="P58" s="237">
        <f t="shared" ref="P58" si="56">ROUND(E58*0.115,2)</f>
        <v>781.02</v>
      </c>
      <c r="Q58" s="103">
        <f>SUM(N58:P58)+G58</f>
        <v>1593.5</v>
      </c>
      <c r="R58" s="208">
        <f>K58-Q58</f>
        <v>5198</v>
      </c>
      <c r="S58" s="170">
        <v>412.89499999999998</v>
      </c>
      <c r="T58" s="128">
        <f t="shared" ref="T58" si="57">ROUND(+E58*17.5%,2)+ROUND(E58*3%,2)</f>
        <v>1392.26</v>
      </c>
      <c r="U58" s="244">
        <f t="shared" ref="U58" si="58">ROUND(+E58*2%,2)</f>
        <v>135.83000000000001</v>
      </c>
      <c r="V58" s="129">
        <f t="shared" si="47"/>
        <v>1940.9849999999999</v>
      </c>
      <c r="X58" s="169"/>
    </row>
    <row r="59" spans="1:24" ht="18.75" x14ac:dyDescent="0.3">
      <c r="B59" s="138" t="s">
        <v>20</v>
      </c>
      <c r="C59" s="132"/>
      <c r="D59" s="133"/>
      <c r="E59" s="135">
        <f>SUM(E53:E58)</f>
        <v>41819.9</v>
      </c>
      <c r="F59" s="135"/>
      <c r="G59" s="135">
        <f t="shared" ref="G59:J59" si="59">SUM(G53:G58)</f>
        <v>0</v>
      </c>
      <c r="H59" s="135">
        <f t="shared" si="59"/>
        <v>0</v>
      </c>
      <c r="I59" s="135">
        <f>SUM(I53:I58)</f>
        <v>25.269999999999996</v>
      </c>
      <c r="J59" s="135">
        <f t="shared" si="59"/>
        <v>0</v>
      </c>
      <c r="K59" s="135">
        <f>SUM(K53:K58)</f>
        <v>41794.629999999997</v>
      </c>
      <c r="L59" s="135">
        <f t="shared" ref="L59:V59" si="60">SUM(L53:L58)</f>
        <v>0</v>
      </c>
      <c r="M59" s="135">
        <f t="shared" si="60"/>
        <v>0</v>
      </c>
      <c r="N59" s="135">
        <f t="shared" si="60"/>
        <v>5103.4299999999994</v>
      </c>
      <c r="O59" s="135">
        <f t="shared" si="60"/>
        <v>9.0000000000000011E-2</v>
      </c>
      <c r="P59" s="135">
        <f t="shared" si="60"/>
        <v>2391.31</v>
      </c>
      <c r="Q59" s="135">
        <f t="shared" si="60"/>
        <v>7494.8300000000008</v>
      </c>
      <c r="R59" s="135">
        <f>SUM(R53:R58)</f>
        <v>34299.800000000003</v>
      </c>
      <c r="S59" s="135">
        <f t="shared" si="60"/>
        <v>2509.2399999999998</v>
      </c>
      <c r="T59" s="135">
        <f t="shared" si="60"/>
        <v>4262.58</v>
      </c>
      <c r="U59" s="135">
        <f t="shared" si="60"/>
        <v>415.87</v>
      </c>
      <c r="V59" s="135">
        <f t="shared" si="60"/>
        <v>7187.69</v>
      </c>
      <c r="X59" s="169"/>
    </row>
    <row r="60" spans="1:24" ht="18.75" hidden="1" x14ac:dyDescent="0.3">
      <c r="B60" s="138"/>
      <c r="C60" s="136"/>
      <c r="E60" s="103"/>
      <c r="F60" s="103"/>
      <c r="G60" s="103"/>
      <c r="H60" s="103"/>
      <c r="I60" s="103"/>
      <c r="J60" s="103"/>
      <c r="K60" s="146"/>
      <c r="L60" s="146"/>
      <c r="M60" s="146"/>
      <c r="N60" s="146"/>
      <c r="O60" s="146"/>
      <c r="P60" s="146"/>
      <c r="Q60" s="146"/>
      <c r="R60" s="147"/>
      <c r="S60" s="148"/>
      <c r="T60" s="148"/>
      <c r="U60" s="148"/>
      <c r="V60" s="148"/>
      <c r="X60" s="169"/>
    </row>
    <row r="61" spans="1:24" ht="18.75" x14ac:dyDescent="0.3">
      <c r="B61" s="138" t="s">
        <v>84</v>
      </c>
      <c r="C61" s="31" t="s">
        <v>85</v>
      </c>
      <c r="E61" s="103"/>
      <c r="F61" s="103"/>
      <c r="G61" s="103"/>
      <c r="H61" s="103"/>
      <c r="I61" s="103"/>
      <c r="J61" s="103"/>
      <c r="K61" s="146"/>
      <c r="L61" s="146"/>
      <c r="M61" s="146"/>
      <c r="N61" s="146"/>
      <c r="O61" s="146"/>
      <c r="P61" s="146"/>
      <c r="Q61" s="146"/>
      <c r="R61" s="147"/>
      <c r="S61" s="148"/>
      <c r="T61" s="148"/>
      <c r="U61" s="148"/>
      <c r="V61" s="148"/>
      <c r="X61" s="169"/>
    </row>
    <row r="62" spans="1:24" ht="21" x14ac:dyDescent="0.35">
      <c r="B62" s="102" t="s">
        <v>86</v>
      </c>
      <c r="C62" s="125" t="s">
        <v>200</v>
      </c>
      <c r="D62" s="102" t="s">
        <v>114</v>
      </c>
      <c r="E62" s="103">
        <v>13000</v>
      </c>
      <c r="F62" s="126">
        <v>15</v>
      </c>
      <c r="G62" s="159">
        <v>2784</v>
      </c>
      <c r="H62" s="103"/>
      <c r="I62" s="103"/>
      <c r="J62" s="103"/>
      <c r="K62" s="103">
        <f>E62-I62</f>
        <v>13000</v>
      </c>
      <c r="L62" s="103">
        <v>0</v>
      </c>
      <c r="M62" s="103"/>
      <c r="N62" s="103">
        <v>2161.23</v>
      </c>
      <c r="O62" s="103">
        <v>-0.03</v>
      </c>
      <c r="P62" s="237">
        <f t="shared" ref="P62" si="61">ROUND(E62*0.115,2)</f>
        <v>1495</v>
      </c>
      <c r="Q62" s="103">
        <f>SUM(N62:P62)+G62</f>
        <v>6440.2</v>
      </c>
      <c r="R62" s="208">
        <f>K62-Q62</f>
        <v>6559.8</v>
      </c>
      <c r="S62" s="29">
        <v>597.69499999999994</v>
      </c>
      <c r="T62" s="128">
        <f t="shared" ref="T62" si="62">ROUND(+E62*17.5%,2)+ROUND(E62*3%,2)</f>
        <v>2665</v>
      </c>
      <c r="U62" s="244">
        <f>ROUND(+E62*2%,2)</f>
        <v>260</v>
      </c>
      <c r="V62" s="129">
        <f t="shared" ref="V62" si="63">SUM(S62:U62)</f>
        <v>3522.6949999999997</v>
      </c>
      <c r="X62" s="169"/>
    </row>
    <row r="63" spans="1:24" ht="18.75" x14ac:dyDescent="0.3">
      <c r="B63" s="138" t="s">
        <v>20</v>
      </c>
      <c r="E63" s="135">
        <f>E62</f>
        <v>13000</v>
      </c>
      <c r="F63" s="135"/>
      <c r="G63" s="135">
        <f>+G62</f>
        <v>2784</v>
      </c>
      <c r="H63" s="135"/>
      <c r="I63" s="135">
        <f>I62</f>
        <v>0</v>
      </c>
      <c r="J63" s="135">
        <f>J62</f>
        <v>0</v>
      </c>
      <c r="K63" s="135">
        <f>K62</f>
        <v>13000</v>
      </c>
      <c r="L63" s="135">
        <f t="shared" ref="L63:V63" si="64">L62</f>
        <v>0</v>
      </c>
      <c r="M63" s="135">
        <f t="shared" si="64"/>
        <v>0</v>
      </c>
      <c r="N63" s="135">
        <f t="shared" si="64"/>
        <v>2161.23</v>
      </c>
      <c r="O63" s="135">
        <f t="shared" si="64"/>
        <v>-0.03</v>
      </c>
      <c r="P63" s="135">
        <f t="shared" si="64"/>
        <v>1495</v>
      </c>
      <c r="Q63" s="135">
        <f t="shared" si="64"/>
        <v>6440.2</v>
      </c>
      <c r="R63" s="135">
        <f>R62</f>
        <v>6559.8</v>
      </c>
      <c r="S63" s="135">
        <f t="shared" si="64"/>
        <v>597.69499999999994</v>
      </c>
      <c r="T63" s="135">
        <f t="shared" si="64"/>
        <v>2665</v>
      </c>
      <c r="U63" s="135">
        <f t="shared" si="64"/>
        <v>260</v>
      </c>
      <c r="V63" s="135">
        <f t="shared" si="64"/>
        <v>3522.6949999999997</v>
      </c>
      <c r="X63" s="169"/>
    </row>
    <row r="64" spans="1:24" ht="12" customHeight="1" x14ac:dyDescent="0.3">
      <c r="B64" s="138"/>
      <c r="E64" s="103"/>
      <c r="F64" s="103"/>
      <c r="G64" s="103"/>
      <c r="H64" s="103"/>
      <c r="I64" s="103"/>
      <c r="J64" s="103"/>
      <c r="K64" s="146"/>
      <c r="L64" s="146"/>
      <c r="M64" s="146"/>
      <c r="N64" s="146"/>
      <c r="O64" s="146"/>
      <c r="P64" s="146"/>
      <c r="Q64" s="146"/>
      <c r="R64" s="147"/>
      <c r="S64" s="148"/>
      <c r="T64" s="148"/>
      <c r="U64" s="148"/>
      <c r="V64" s="148"/>
    </row>
    <row r="65" spans="3:24" ht="18.75" hidden="1" x14ac:dyDescent="0.3">
      <c r="R65" s="149"/>
    </row>
    <row r="66" spans="3:24" ht="18.75" x14ac:dyDescent="0.3">
      <c r="C66" s="150" t="s">
        <v>56</v>
      </c>
      <c r="E66" s="151">
        <f>E9+E23+E30+E50+E59+E63</f>
        <v>269261</v>
      </c>
      <c r="F66" s="151"/>
      <c r="G66" s="152">
        <f>G9+G23+G30+G50+G59+G63</f>
        <v>20240.099999999999</v>
      </c>
      <c r="H66" s="151"/>
      <c r="I66" s="151">
        <f>I9+I23+I30+I50+I59+I63</f>
        <v>497.53999999999996</v>
      </c>
      <c r="J66" s="151">
        <f t="shared" ref="J66:Q66" si="65">J9+J23+J30+J50+J59+J63</f>
        <v>0</v>
      </c>
      <c r="K66" s="151">
        <f t="shared" si="65"/>
        <v>280122.43</v>
      </c>
      <c r="L66" s="151">
        <f t="shared" si="65"/>
        <v>7244.05</v>
      </c>
      <c r="M66" s="151">
        <f t="shared" si="65"/>
        <v>7244.02</v>
      </c>
      <c r="N66" s="151">
        <f t="shared" si="65"/>
        <v>35664.720000000001</v>
      </c>
      <c r="O66" s="151">
        <f t="shared" si="65"/>
        <v>0.28999999999999992</v>
      </c>
      <c r="P66" s="152">
        <f>P9+P23+P30+P50+P59+P63</f>
        <v>21241.74</v>
      </c>
      <c r="Q66" s="151">
        <f t="shared" si="65"/>
        <v>77146.850000000006</v>
      </c>
      <c r="R66" s="153">
        <f>ROUND(+R9+R23+R30+R50+R59+R63,1)</f>
        <v>202975.6</v>
      </c>
      <c r="S66" s="151">
        <f>S9+S23+S30+S50+S59+S63</f>
        <v>16769.264999999999</v>
      </c>
      <c r="T66" s="151">
        <f>T63+T59+T50+T30+T23+T9</f>
        <v>37865.052475000004</v>
      </c>
      <c r="U66" s="152">
        <f>U9+U23+U30+U50+U59+U63</f>
        <v>3694.2299999999996</v>
      </c>
      <c r="V66" s="154">
        <f>V9+V23+V30+V50+V59+V63</f>
        <v>58328.547475000007</v>
      </c>
    </row>
    <row r="67" spans="3:24" ht="18.75" x14ac:dyDescent="0.3">
      <c r="S67" s="151"/>
      <c r="T67" s="151"/>
    </row>
    <row r="68" spans="3:24" x14ac:dyDescent="0.25">
      <c r="T68" s="103"/>
      <c r="X68" s="169"/>
    </row>
    <row r="70" spans="3:24" x14ac:dyDescent="0.25">
      <c r="I70" s="169"/>
    </row>
    <row r="75" spans="3:24" ht="16.5" thickBot="1" x14ac:dyDescent="0.3">
      <c r="E75" s="293"/>
      <c r="F75" s="293"/>
      <c r="G75" s="251"/>
      <c r="H75" s="251"/>
      <c r="P75" s="294"/>
      <c r="Q75" s="294"/>
    </row>
    <row r="76" spans="3:24" ht="15" x14ac:dyDescent="0.25">
      <c r="E76" s="304" t="s">
        <v>91</v>
      </c>
      <c r="F76" s="295"/>
      <c r="G76" s="252"/>
      <c r="H76" s="252"/>
      <c r="P76" s="155"/>
      <c r="Q76" s="155"/>
      <c r="R76" s="303" t="s">
        <v>202</v>
      </c>
      <c r="S76" s="296"/>
      <c r="T76" s="251"/>
    </row>
    <row r="80" spans="3:24" x14ac:dyDescent="0.25">
      <c r="C80" s="102" t="s">
        <v>90</v>
      </c>
    </row>
  </sheetData>
  <mergeCells count="5">
    <mergeCell ref="B4:V4"/>
    <mergeCell ref="E75:F75"/>
    <mergeCell ref="P75:Q75"/>
    <mergeCell ref="E76:F76"/>
    <mergeCell ref="R76:S76"/>
  </mergeCells>
  <pageMargins left="0.51181102362204722" right="0.51181102362204722" top="0.15748031496062992" bottom="0.35433070866141736" header="0.31496062992125984" footer="0.31496062992125984"/>
  <pageSetup scale="41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114E1-FB4A-4D22-9C51-C4CA9051200C}">
  <sheetPr>
    <pageSetUpPr fitToPage="1"/>
  </sheetPr>
  <dimension ref="A2:L70"/>
  <sheetViews>
    <sheetView zoomScaleNormal="100" workbookViewId="0">
      <selection activeCell="F7" sqref="F7"/>
    </sheetView>
  </sheetViews>
  <sheetFormatPr baseColWidth="10" defaultColWidth="11.42578125" defaultRowHeight="15" x14ac:dyDescent="0.25"/>
  <cols>
    <col min="1" max="1" width="9.42578125" style="7" customWidth="1"/>
    <col min="2" max="2" width="36.85546875" style="7" customWidth="1"/>
    <col min="3" max="3" width="28.85546875" style="7" customWidth="1"/>
    <col min="4" max="4" width="6.7109375" style="7" customWidth="1"/>
    <col min="5" max="5" width="10.5703125" style="7" bestFit="1" customWidth="1"/>
    <col min="6" max="6" width="17.28515625" style="7" customWidth="1"/>
    <col min="7" max="7" width="16.5703125" style="13" customWidth="1"/>
    <col min="8" max="8" width="13.85546875" style="13" customWidth="1"/>
    <col min="9" max="9" width="12.7109375" style="13" customWidth="1"/>
    <col min="10" max="10" width="17.7109375" style="13" customWidth="1"/>
    <col min="11" max="11" width="14.28515625" style="7" customWidth="1"/>
    <col min="12" max="16384" width="11.42578125" style="7"/>
  </cols>
  <sheetData>
    <row r="2" spans="1:11" ht="15.75" thickBot="1" x14ac:dyDescent="0.3"/>
    <row r="3" spans="1:11" ht="15.75" thickBot="1" x14ac:dyDescent="0.3">
      <c r="B3" s="8"/>
      <c r="C3" s="305" t="s">
        <v>227</v>
      </c>
      <c r="D3" s="306"/>
      <c r="E3" s="306"/>
      <c r="F3" s="306"/>
      <c r="G3" s="306"/>
      <c r="H3" s="306"/>
      <c r="I3" s="306"/>
      <c r="J3" s="307"/>
      <c r="K3" s="8"/>
    </row>
    <row r="4" spans="1:11" ht="15.75" thickBot="1" x14ac:dyDescent="0.3">
      <c r="F4" s="8"/>
      <c r="G4" s="8"/>
      <c r="H4" s="8"/>
      <c r="I4" s="8"/>
      <c r="J4" s="8"/>
      <c r="K4" s="8"/>
    </row>
    <row r="5" spans="1:11" ht="57" thickBot="1" x14ac:dyDescent="0.3">
      <c r="A5" s="259" t="s">
        <v>95</v>
      </c>
      <c r="B5" s="260" t="s">
        <v>96</v>
      </c>
      <c r="C5" s="260" t="s">
        <v>97</v>
      </c>
      <c r="D5" s="260" t="s">
        <v>98</v>
      </c>
      <c r="E5" s="260" t="s">
        <v>99</v>
      </c>
      <c r="F5" s="261" t="s">
        <v>100</v>
      </c>
      <c r="G5" s="261" t="s">
        <v>101</v>
      </c>
      <c r="H5" s="261" t="s">
        <v>102</v>
      </c>
      <c r="I5" s="261" t="s">
        <v>103</v>
      </c>
      <c r="J5" s="261" t="s">
        <v>104</v>
      </c>
      <c r="K5" s="261" t="s">
        <v>105</v>
      </c>
    </row>
    <row r="6" spans="1:11" s="9" customFormat="1" x14ac:dyDescent="0.25">
      <c r="A6" s="262" t="s">
        <v>15</v>
      </c>
      <c r="B6" s="263" t="s">
        <v>16</v>
      </c>
      <c r="C6" s="263" t="s">
        <v>19</v>
      </c>
      <c r="D6" s="263">
        <v>1</v>
      </c>
      <c r="E6" s="263">
        <v>1297.42</v>
      </c>
      <c r="F6" s="264">
        <v>38922.727999999996</v>
      </c>
      <c r="G6" s="276">
        <f>+E6*12.5</f>
        <v>16217.75</v>
      </c>
      <c r="H6" s="276"/>
      <c r="I6" s="277"/>
      <c r="J6" s="280">
        <f>+G6-H6-I6</f>
        <v>16217.75</v>
      </c>
      <c r="K6" s="283">
        <v>2918.09</v>
      </c>
    </row>
    <row r="7" spans="1:11" x14ac:dyDescent="0.25">
      <c r="A7" s="265" t="s">
        <v>17</v>
      </c>
      <c r="B7" s="266" t="s">
        <v>218</v>
      </c>
      <c r="C7" s="266" t="s">
        <v>2</v>
      </c>
      <c r="D7" s="266">
        <v>1</v>
      </c>
      <c r="E7" s="266">
        <v>416.49</v>
      </c>
      <c r="F7" s="267">
        <v>12494.664000000001</v>
      </c>
      <c r="G7" s="275">
        <f>+E7*3.76</f>
        <v>1566.0023999999999</v>
      </c>
      <c r="H7" s="275"/>
      <c r="I7" s="272"/>
      <c r="J7" s="281">
        <f t="shared" ref="J7:J44" si="0">+G7-H7-I7</f>
        <v>1566.0023999999999</v>
      </c>
      <c r="K7" s="284">
        <v>175.01</v>
      </c>
    </row>
    <row r="8" spans="1:11" x14ac:dyDescent="0.25">
      <c r="A8" s="265" t="s">
        <v>23</v>
      </c>
      <c r="B8" s="266" t="s">
        <v>191</v>
      </c>
      <c r="C8" s="266" t="s">
        <v>114</v>
      </c>
      <c r="D8" s="266">
        <v>2</v>
      </c>
      <c r="E8" s="266">
        <v>866.67</v>
      </c>
      <c r="F8" s="267">
        <v>26000</v>
      </c>
      <c r="G8" s="275">
        <f>+E8*12.5</f>
        <v>10833.375</v>
      </c>
      <c r="H8" s="275"/>
      <c r="I8" s="272"/>
      <c r="J8" s="281">
        <f t="shared" si="0"/>
        <v>10833.375</v>
      </c>
      <c r="K8" s="284">
        <v>1675.84</v>
      </c>
    </row>
    <row r="9" spans="1:11" x14ac:dyDescent="0.25">
      <c r="A9" s="265" t="s">
        <v>24</v>
      </c>
      <c r="B9" s="266" t="s">
        <v>192</v>
      </c>
      <c r="C9" s="266" t="s">
        <v>116</v>
      </c>
      <c r="D9" s="266">
        <v>2</v>
      </c>
      <c r="E9" s="266">
        <v>466.72</v>
      </c>
      <c r="F9" s="267">
        <v>14001.624</v>
      </c>
      <c r="G9" s="275">
        <f>+E9*12.5</f>
        <v>5834</v>
      </c>
      <c r="H9" s="275"/>
      <c r="I9" s="272"/>
      <c r="J9" s="281">
        <f t="shared" si="0"/>
        <v>5834</v>
      </c>
      <c r="K9" s="284">
        <v>611.04</v>
      </c>
    </row>
    <row r="10" spans="1:11" x14ac:dyDescent="0.25">
      <c r="A10" s="265" t="s">
        <v>25</v>
      </c>
      <c r="B10" s="266" t="s">
        <v>174</v>
      </c>
      <c r="C10" s="266" t="s">
        <v>115</v>
      </c>
      <c r="D10" s="266">
        <v>2</v>
      </c>
      <c r="E10" s="266">
        <v>466.72</v>
      </c>
      <c r="F10" s="267">
        <v>14001.624</v>
      </c>
      <c r="G10" s="275">
        <f>+E10*12.5</f>
        <v>5834</v>
      </c>
      <c r="H10" s="275"/>
      <c r="I10" s="272"/>
      <c r="J10" s="281">
        <f t="shared" si="0"/>
        <v>5834</v>
      </c>
      <c r="K10" s="284">
        <v>611.04</v>
      </c>
    </row>
    <row r="11" spans="1:11" x14ac:dyDescent="0.25">
      <c r="A11" s="265" t="s">
        <v>26</v>
      </c>
      <c r="B11" s="266" t="s">
        <v>193</v>
      </c>
      <c r="C11" s="266" t="s">
        <v>37</v>
      </c>
      <c r="D11" s="266">
        <v>2</v>
      </c>
      <c r="E11" s="266">
        <v>496.25</v>
      </c>
      <c r="F11" s="267">
        <v>14887.6</v>
      </c>
      <c r="G11" s="275">
        <f>+E11*11.94</f>
        <v>5925.2249999999995</v>
      </c>
      <c r="H11" s="275"/>
      <c r="I11" s="272"/>
      <c r="J11" s="281">
        <f t="shared" si="0"/>
        <v>5925.2249999999995</v>
      </c>
      <c r="K11" s="284">
        <v>627.39</v>
      </c>
    </row>
    <row r="12" spans="1:11" x14ac:dyDescent="0.25">
      <c r="A12" s="265" t="s">
        <v>27</v>
      </c>
      <c r="B12" s="266" t="s">
        <v>40</v>
      </c>
      <c r="C12" s="266" t="s">
        <v>117</v>
      </c>
      <c r="D12" s="266">
        <v>2</v>
      </c>
      <c r="E12" s="266">
        <v>327.89</v>
      </c>
      <c r="F12" s="267">
        <v>9836.7360000000008</v>
      </c>
      <c r="G12" s="275">
        <f t="shared" ref="G12:G40" si="1">+E12*50</f>
        <v>16394.5</v>
      </c>
      <c r="H12" s="275">
        <v>6800</v>
      </c>
      <c r="I12" s="275">
        <f>+E12*0.28</f>
        <v>91.809200000000004</v>
      </c>
      <c r="J12" s="281">
        <f t="shared" si="0"/>
        <v>9502.6908000000003</v>
      </c>
      <c r="K12" s="284">
        <v>1391.6</v>
      </c>
    </row>
    <row r="13" spans="1:11" x14ac:dyDescent="0.25">
      <c r="A13" s="265" t="s">
        <v>61</v>
      </c>
      <c r="B13" s="266" t="s">
        <v>43</v>
      </c>
      <c r="C13" s="266" t="s">
        <v>3</v>
      </c>
      <c r="D13" s="266">
        <v>2</v>
      </c>
      <c r="E13" s="266">
        <v>290.54000000000002</v>
      </c>
      <c r="F13" s="267">
        <v>8716.344000000001</v>
      </c>
      <c r="G13" s="275">
        <f t="shared" si="1"/>
        <v>14527.000000000002</v>
      </c>
      <c r="H13" s="275">
        <v>5500</v>
      </c>
      <c r="I13" s="275">
        <f>+E13*0.42</f>
        <v>122.02680000000001</v>
      </c>
      <c r="J13" s="281">
        <f t="shared" si="0"/>
        <v>8904.9732000000022</v>
      </c>
      <c r="K13" s="284">
        <v>1263.93</v>
      </c>
    </row>
    <row r="14" spans="1:11" x14ac:dyDescent="0.25">
      <c r="A14" s="265" t="s">
        <v>62</v>
      </c>
      <c r="B14" s="266" t="s">
        <v>42</v>
      </c>
      <c r="C14" s="266" t="s">
        <v>119</v>
      </c>
      <c r="D14" s="266">
        <v>2</v>
      </c>
      <c r="E14" s="274">
        <f>+F14/30</f>
        <v>327.89119999999997</v>
      </c>
      <c r="F14" s="267">
        <v>9836.735999999999</v>
      </c>
      <c r="G14" s="275">
        <f t="shared" si="1"/>
        <v>16394.559999999998</v>
      </c>
      <c r="H14" s="275"/>
      <c r="I14" s="272"/>
      <c r="J14" s="281">
        <f t="shared" si="0"/>
        <v>16394.559999999998</v>
      </c>
      <c r="K14" s="284">
        <v>2959.67</v>
      </c>
    </row>
    <row r="15" spans="1:11" s="10" customFormat="1" x14ac:dyDescent="0.25">
      <c r="A15" s="265" t="s">
        <v>187</v>
      </c>
      <c r="B15" s="266" t="s">
        <v>199</v>
      </c>
      <c r="C15" s="266" t="s">
        <v>188</v>
      </c>
      <c r="D15" s="266">
        <v>2</v>
      </c>
      <c r="E15" s="266">
        <v>327.89</v>
      </c>
      <c r="F15" s="267">
        <v>9836.735999999999</v>
      </c>
      <c r="G15" s="275">
        <f>+E15*12.5</f>
        <v>4098.625</v>
      </c>
      <c r="H15" s="275"/>
      <c r="I15" s="272"/>
      <c r="J15" s="281">
        <f t="shared" si="0"/>
        <v>4098.625</v>
      </c>
      <c r="K15" s="284">
        <v>324.52999999999997</v>
      </c>
    </row>
    <row r="16" spans="1:11" s="10" customFormat="1" x14ac:dyDescent="0.25">
      <c r="A16" s="265" t="s">
        <v>213</v>
      </c>
      <c r="B16" s="266" t="s">
        <v>214</v>
      </c>
      <c r="C16" s="266" t="s">
        <v>3</v>
      </c>
      <c r="D16" s="266">
        <v>2</v>
      </c>
      <c r="E16" s="266">
        <v>290.54000000000002</v>
      </c>
      <c r="F16" s="267">
        <v>8716.344000000001</v>
      </c>
      <c r="G16" s="275">
        <f>+E16*8.33</f>
        <v>2420.1982000000003</v>
      </c>
      <c r="H16" s="275"/>
      <c r="I16" s="272"/>
      <c r="J16" s="281">
        <f t="shared" si="0"/>
        <v>2420.1982000000003</v>
      </c>
      <c r="K16" s="284">
        <v>284.32</v>
      </c>
    </row>
    <row r="17" spans="1:11" s="10" customFormat="1" x14ac:dyDescent="0.25">
      <c r="A17" s="265" t="s">
        <v>215</v>
      </c>
      <c r="B17" s="266" t="s">
        <v>217</v>
      </c>
      <c r="C17" s="266" t="s">
        <v>3</v>
      </c>
      <c r="D17" s="266">
        <v>2</v>
      </c>
      <c r="E17" s="266">
        <v>290.54000000000002</v>
      </c>
      <c r="F17" s="267">
        <v>8716.344000000001</v>
      </c>
      <c r="G17" s="275">
        <f>+E17*6.24</f>
        <v>1812.9696000000001</v>
      </c>
      <c r="H17" s="275"/>
      <c r="I17" s="272"/>
      <c r="J17" s="281">
        <f t="shared" si="0"/>
        <v>1812.9696000000001</v>
      </c>
      <c r="K17" s="284">
        <v>206.62</v>
      </c>
    </row>
    <row r="18" spans="1:11" s="10" customFormat="1" x14ac:dyDescent="0.25">
      <c r="A18" s="265" t="s">
        <v>63</v>
      </c>
      <c r="B18" s="266" t="s">
        <v>110</v>
      </c>
      <c r="C18" s="266" t="s">
        <v>132</v>
      </c>
      <c r="D18" s="266">
        <v>4</v>
      </c>
      <c r="E18" s="266">
        <v>466.72</v>
      </c>
      <c r="F18" s="267">
        <v>14001.624</v>
      </c>
      <c r="G18" s="275">
        <f t="shared" si="1"/>
        <v>23336</v>
      </c>
      <c r="H18" s="275"/>
      <c r="I18" s="272"/>
      <c r="J18" s="281">
        <f t="shared" si="0"/>
        <v>23336</v>
      </c>
      <c r="K18" s="284">
        <v>4883.7700000000004</v>
      </c>
    </row>
    <row r="19" spans="1:11" x14ac:dyDescent="0.25">
      <c r="A19" s="265" t="s">
        <v>112</v>
      </c>
      <c r="B19" s="266" t="s">
        <v>113</v>
      </c>
      <c r="C19" s="266" t="s">
        <v>121</v>
      </c>
      <c r="D19" s="266">
        <v>4</v>
      </c>
      <c r="E19" s="266">
        <v>466.72</v>
      </c>
      <c r="F19" s="267">
        <v>14001.624</v>
      </c>
      <c r="G19" s="275">
        <f t="shared" si="1"/>
        <v>23336</v>
      </c>
      <c r="H19" s="275"/>
      <c r="I19" s="275">
        <f>+E19*0.14</f>
        <v>65.340800000000016</v>
      </c>
      <c r="J19" s="281">
        <f t="shared" si="0"/>
        <v>23270.659199999998</v>
      </c>
      <c r="K19" s="284">
        <v>4864.17</v>
      </c>
    </row>
    <row r="20" spans="1:11" x14ac:dyDescent="0.25">
      <c r="A20" s="265" t="s">
        <v>64</v>
      </c>
      <c r="B20" s="266" t="s">
        <v>45</v>
      </c>
      <c r="C20" s="266" t="s">
        <v>122</v>
      </c>
      <c r="D20" s="266">
        <v>4</v>
      </c>
      <c r="E20" s="266">
        <v>466.72</v>
      </c>
      <c r="F20" s="267">
        <v>14001.624</v>
      </c>
      <c r="G20" s="275">
        <f t="shared" si="1"/>
        <v>23336</v>
      </c>
      <c r="H20" s="275"/>
      <c r="I20" s="272"/>
      <c r="J20" s="281">
        <f t="shared" si="0"/>
        <v>23336</v>
      </c>
      <c r="K20" s="284">
        <v>4883.7700000000004</v>
      </c>
    </row>
    <row r="21" spans="1:11" x14ac:dyDescent="0.25">
      <c r="A21" s="265" t="s">
        <v>65</v>
      </c>
      <c r="B21" s="266" t="s">
        <v>59</v>
      </c>
      <c r="C21" s="266" t="s">
        <v>121</v>
      </c>
      <c r="D21" s="266">
        <v>4</v>
      </c>
      <c r="E21" s="266">
        <v>466.72</v>
      </c>
      <c r="F21" s="267">
        <v>14001.624</v>
      </c>
      <c r="G21" s="275">
        <f t="shared" si="1"/>
        <v>23336</v>
      </c>
      <c r="H21" s="275"/>
      <c r="I21" s="272"/>
      <c r="J21" s="281">
        <f t="shared" si="0"/>
        <v>23336</v>
      </c>
      <c r="K21" s="284">
        <v>4883.7700000000004</v>
      </c>
    </row>
    <row r="22" spans="1:11" x14ac:dyDescent="0.25">
      <c r="A22" s="265" t="s">
        <v>67</v>
      </c>
      <c r="B22" s="266" t="s">
        <v>51</v>
      </c>
      <c r="C22" s="266" t="s">
        <v>38</v>
      </c>
      <c r="D22" s="266">
        <v>5</v>
      </c>
      <c r="E22" s="266">
        <v>466.72</v>
      </c>
      <c r="F22" s="267">
        <v>14001.624</v>
      </c>
      <c r="G22" s="275">
        <f t="shared" si="1"/>
        <v>23336</v>
      </c>
      <c r="H22" s="275"/>
      <c r="I22" s="275">
        <f>+E22*0.14</f>
        <v>65.340800000000016</v>
      </c>
      <c r="J22" s="281">
        <f t="shared" si="0"/>
        <v>23270.659199999998</v>
      </c>
      <c r="K22" s="284">
        <v>4864.17</v>
      </c>
    </row>
    <row r="23" spans="1:11" x14ac:dyDescent="0.25">
      <c r="A23" s="265" t="s">
        <v>68</v>
      </c>
      <c r="B23" s="266" t="s">
        <v>194</v>
      </c>
      <c r="C23" s="266" t="s">
        <v>123</v>
      </c>
      <c r="D23" s="266">
        <v>5</v>
      </c>
      <c r="E23" s="266">
        <v>496.25</v>
      </c>
      <c r="F23" s="267">
        <v>14887.6</v>
      </c>
      <c r="G23" s="275">
        <f>+E23*12.5</f>
        <v>6203.125</v>
      </c>
      <c r="H23" s="275"/>
      <c r="I23" s="275">
        <f>+E23*0.28</f>
        <v>138.95000000000002</v>
      </c>
      <c r="J23" s="281">
        <f t="shared" si="0"/>
        <v>6064.1750000000002</v>
      </c>
      <c r="K23" s="284">
        <v>686.81</v>
      </c>
    </row>
    <row r="24" spans="1:11" x14ac:dyDescent="0.25">
      <c r="A24" s="265" t="s">
        <v>77</v>
      </c>
      <c r="B24" s="266" t="s">
        <v>137</v>
      </c>
      <c r="C24" s="266" t="s">
        <v>127</v>
      </c>
      <c r="D24" s="266">
        <v>6</v>
      </c>
      <c r="E24" s="266">
        <v>466.72</v>
      </c>
      <c r="F24" s="267">
        <v>14001.624</v>
      </c>
      <c r="G24" s="275">
        <f t="shared" si="1"/>
        <v>23336</v>
      </c>
      <c r="H24" s="275"/>
      <c r="I24" s="272"/>
      <c r="J24" s="281">
        <f t="shared" si="0"/>
        <v>23336</v>
      </c>
      <c r="K24" s="284">
        <v>4883.7700000000004</v>
      </c>
    </row>
    <row r="25" spans="1:11" x14ac:dyDescent="0.25">
      <c r="A25" s="265" t="s">
        <v>70</v>
      </c>
      <c r="B25" s="266" t="s">
        <v>46</v>
      </c>
      <c r="C25" s="266" t="s">
        <v>124</v>
      </c>
      <c r="D25" s="266">
        <v>5</v>
      </c>
      <c r="E25" s="266">
        <v>466.72</v>
      </c>
      <c r="F25" s="267">
        <v>14001.624</v>
      </c>
      <c r="G25" s="275">
        <f t="shared" si="1"/>
        <v>23336</v>
      </c>
      <c r="H25" s="275"/>
      <c r="I25" s="272"/>
      <c r="J25" s="281">
        <f t="shared" si="0"/>
        <v>23336</v>
      </c>
      <c r="K25" s="284">
        <v>4883.7700000000004</v>
      </c>
    </row>
    <row r="26" spans="1:11" s="10" customFormat="1" x14ac:dyDescent="0.25">
      <c r="A26" s="265" t="s">
        <v>71</v>
      </c>
      <c r="B26" s="266" t="s">
        <v>50</v>
      </c>
      <c r="C26" s="266" t="s">
        <v>124</v>
      </c>
      <c r="D26" s="266">
        <v>5</v>
      </c>
      <c r="E26" s="266">
        <v>466.72</v>
      </c>
      <c r="F26" s="267">
        <v>14001.624</v>
      </c>
      <c r="G26" s="275">
        <f t="shared" si="1"/>
        <v>23336</v>
      </c>
      <c r="H26" s="275"/>
      <c r="I26" s="275">
        <f>+E26*0.84</f>
        <v>392.04480000000001</v>
      </c>
      <c r="J26" s="281">
        <f t="shared" si="0"/>
        <v>22943.9552</v>
      </c>
      <c r="K26" s="284">
        <v>4766.16</v>
      </c>
    </row>
    <row r="27" spans="1:11" x14ac:dyDescent="0.25">
      <c r="A27" s="265" t="s">
        <v>72</v>
      </c>
      <c r="B27" s="266" t="s">
        <v>195</v>
      </c>
      <c r="C27" s="266" t="s">
        <v>124</v>
      </c>
      <c r="D27" s="266">
        <v>5</v>
      </c>
      <c r="E27" s="266">
        <v>466.72</v>
      </c>
      <c r="F27" s="267">
        <v>14001.624</v>
      </c>
      <c r="G27" s="275">
        <f>+E27*12.5</f>
        <v>5834</v>
      </c>
      <c r="H27" s="275"/>
      <c r="I27" s="272"/>
      <c r="J27" s="281">
        <f t="shared" si="0"/>
        <v>5834</v>
      </c>
      <c r="K27" s="284">
        <v>611.04</v>
      </c>
    </row>
    <row r="28" spans="1:11" x14ac:dyDescent="0.25">
      <c r="A28" s="265" t="s">
        <v>73</v>
      </c>
      <c r="B28" s="266" t="s">
        <v>219</v>
      </c>
      <c r="C28" s="266" t="s">
        <v>125</v>
      </c>
      <c r="D28" s="266">
        <v>5</v>
      </c>
      <c r="E28" s="266">
        <v>466.72</v>
      </c>
      <c r="F28" s="267">
        <v>14001.624</v>
      </c>
      <c r="G28" s="275">
        <f>+E28*37.5</f>
        <v>17502</v>
      </c>
      <c r="H28" s="275"/>
      <c r="I28" s="275">
        <f>+E28*0.14</f>
        <v>65.340800000000016</v>
      </c>
      <c r="J28" s="281">
        <f t="shared" si="0"/>
        <v>17436.659199999998</v>
      </c>
      <c r="K28" s="284">
        <v>3204.77</v>
      </c>
    </row>
    <row r="29" spans="1:11" x14ac:dyDescent="0.25">
      <c r="A29" s="265" t="s">
        <v>74</v>
      </c>
      <c r="B29" s="266" t="s">
        <v>220</v>
      </c>
      <c r="C29" s="266" t="s">
        <v>125</v>
      </c>
      <c r="D29" s="266">
        <v>5</v>
      </c>
      <c r="E29" s="266">
        <v>466.72</v>
      </c>
      <c r="F29" s="267">
        <v>14001.624</v>
      </c>
      <c r="G29" s="275">
        <f t="shared" si="1"/>
        <v>23336</v>
      </c>
      <c r="H29" s="275"/>
      <c r="I29" s="272"/>
      <c r="J29" s="281">
        <f t="shared" si="0"/>
        <v>23336</v>
      </c>
      <c r="K29" s="284">
        <v>4883.7700000000004</v>
      </c>
    </row>
    <row r="30" spans="1:11" x14ac:dyDescent="0.25">
      <c r="A30" s="265" t="s">
        <v>75</v>
      </c>
      <c r="B30" s="266" t="s">
        <v>221</v>
      </c>
      <c r="C30" s="266" t="s">
        <v>126</v>
      </c>
      <c r="D30" s="266">
        <v>5</v>
      </c>
      <c r="E30" s="266">
        <v>466.72</v>
      </c>
      <c r="F30" s="267">
        <v>14001.624</v>
      </c>
      <c r="G30" s="275">
        <f>+E30*12.5</f>
        <v>5834</v>
      </c>
      <c r="H30" s="275"/>
      <c r="I30" s="272"/>
      <c r="J30" s="281">
        <f t="shared" si="0"/>
        <v>5834</v>
      </c>
      <c r="K30" s="284">
        <v>611.04</v>
      </c>
    </row>
    <row r="31" spans="1:11" x14ac:dyDescent="0.25">
      <c r="A31" s="265" t="s">
        <v>76</v>
      </c>
      <c r="B31" s="266" t="s">
        <v>205</v>
      </c>
      <c r="C31" s="266" t="s">
        <v>126</v>
      </c>
      <c r="D31" s="266">
        <v>5</v>
      </c>
      <c r="E31" s="266">
        <v>466.72</v>
      </c>
      <c r="F31" s="267">
        <v>14001.624</v>
      </c>
      <c r="G31" s="275">
        <f>+E31*9.44</f>
        <v>4405.8368</v>
      </c>
      <c r="H31" s="275"/>
      <c r="I31" s="275">
        <f>+E31*0.14</f>
        <v>65.340800000000016</v>
      </c>
      <c r="J31" s="281">
        <f t="shared" si="0"/>
        <v>4340.4960000000001</v>
      </c>
      <c r="K31" s="284">
        <v>355.06</v>
      </c>
    </row>
    <row r="32" spans="1:11" x14ac:dyDescent="0.25">
      <c r="A32" s="265" t="s">
        <v>150</v>
      </c>
      <c r="B32" s="266" t="s">
        <v>222</v>
      </c>
      <c r="C32" s="266" t="s">
        <v>109</v>
      </c>
      <c r="D32" s="266">
        <v>5</v>
      </c>
      <c r="E32" s="266">
        <v>466.72</v>
      </c>
      <c r="F32" s="267">
        <v>14001.624</v>
      </c>
      <c r="G32" s="275">
        <f>+E32*35.41</f>
        <v>16526.555199999999</v>
      </c>
      <c r="H32" s="275"/>
      <c r="I32" s="275">
        <f>+E32*0.42</f>
        <v>196.0224</v>
      </c>
      <c r="J32" s="281">
        <f t="shared" si="0"/>
        <v>16330.532799999999</v>
      </c>
      <c r="K32" s="284">
        <v>2944.62</v>
      </c>
    </row>
    <row r="33" spans="1:11" x14ac:dyDescent="0.25">
      <c r="A33" s="265" t="s">
        <v>151</v>
      </c>
      <c r="B33" s="266" t="s">
        <v>172</v>
      </c>
      <c r="C33" s="266" t="s">
        <v>109</v>
      </c>
      <c r="D33" s="266">
        <v>5</v>
      </c>
      <c r="E33" s="266">
        <v>466.72</v>
      </c>
      <c r="F33" s="267">
        <v>14001.624</v>
      </c>
      <c r="G33" s="275">
        <f>+E33*35.41</f>
        <v>16526.555199999999</v>
      </c>
      <c r="H33" s="275"/>
      <c r="I33" s="275">
        <f>+E33*0.14</f>
        <v>65.340800000000016</v>
      </c>
      <c r="J33" s="281">
        <f t="shared" si="0"/>
        <v>16461.214399999997</v>
      </c>
      <c r="K33" s="284">
        <v>2975.35</v>
      </c>
    </row>
    <row r="34" spans="1:11" x14ac:dyDescent="0.25">
      <c r="A34" s="265" t="s">
        <v>152</v>
      </c>
      <c r="B34" s="266" t="s">
        <v>173</v>
      </c>
      <c r="C34" s="266" t="s">
        <v>109</v>
      </c>
      <c r="D34" s="266">
        <v>5</v>
      </c>
      <c r="E34" s="266">
        <v>466.72</v>
      </c>
      <c r="F34" s="267">
        <v>14001.624</v>
      </c>
      <c r="G34" s="275">
        <f>+E34*35.41</f>
        <v>16526.555199999999</v>
      </c>
      <c r="H34" s="275"/>
      <c r="I34" s="275">
        <f>+E34*0.14</f>
        <v>65.340800000000016</v>
      </c>
      <c r="J34" s="281">
        <f t="shared" si="0"/>
        <v>16461.214399999997</v>
      </c>
      <c r="K34" s="284">
        <v>2975.35</v>
      </c>
    </row>
    <row r="35" spans="1:11" x14ac:dyDescent="0.25">
      <c r="A35" s="265" t="s">
        <v>198</v>
      </c>
      <c r="B35" s="266" t="s">
        <v>48</v>
      </c>
      <c r="C35" s="266" t="s">
        <v>109</v>
      </c>
      <c r="D35" s="266">
        <v>5</v>
      </c>
      <c r="E35" s="266">
        <v>466.72</v>
      </c>
      <c r="F35" s="267">
        <v>14001.624</v>
      </c>
      <c r="G35" s="275">
        <f>+E35*12.5</f>
        <v>5834</v>
      </c>
      <c r="H35" s="275"/>
      <c r="I35" s="272"/>
      <c r="J35" s="281">
        <f t="shared" ref="J35" si="2">+G35-H35-I35</f>
        <v>5834</v>
      </c>
      <c r="K35" s="284">
        <v>611.04</v>
      </c>
    </row>
    <row r="36" spans="1:11" x14ac:dyDescent="0.25">
      <c r="A36" s="265" t="s">
        <v>208</v>
      </c>
      <c r="B36" s="266" t="s">
        <v>211</v>
      </c>
      <c r="C36" s="266" t="s">
        <v>109</v>
      </c>
      <c r="D36" s="266">
        <v>5</v>
      </c>
      <c r="E36" s="266">
        <v>466.72</v>
      </c>
      <c r="F36" s="267">
        <v>14001.624</v>
      </c>
      <c r="G36" s="275">
        <f>+E36*8.33</f>
        <v>3887.7776000000003</v>
      </c>
      <c r="H36" s="275"/>
      <c r="I36" s="272"/>
      <c r="J36" s="281">
        <f t="shared" si="0"/>
        <v>3887.7776000000003</v>
      </c>
      <c r="K36" s="284">
        <v>301.58999999999997</v>
      </c>
    </row>
    <row r="37" spans="1:11" x14ac:dyDescent="0.25">
      <c r="A37" s="265" t="s">
        <v>209</v>
      </c>
      <c r="B37" s="266" t="s">
        <v>223</v>
      </c>
      <c r="C37" s="266" t="s">
        <v>224</v>
      </c>
      <c r="D37" s="266">
        <v>5</v>
      </c>
      <c r="E37" s="266">
        <v>290.54000000000002</v>
      </c>
      <c r="F37" s="267">
        <v>8716.34</v>
      </c>
      <c r="G37" s="275">
        <f>+E37*8.33</f>
        <v>2420.1982000000003</v>
      </c>
      <c r="H37" s="275"/>
      <c r="I37" s="272"/>
      <c r="J37" s="281">
        <f t="shared" si="0"/>
        <v>2420.1982000000003</v>
      </c>
      <c r="K37" s="284">
        <v>284.32</v>
      </c>
    </row>
    <row r="38" spans="1:11" x14ac:dyDescent="0.25">
      <c r="A38" s="265" t="s">
        <v>69</v>
      </c>
      <c r="B38" s="266" t="s">
        <v>196</v>
      </c>
      <c r="C38" s="266" t="s">
        <v>136</v>
      </c>
      <c r="D38" s="266">
        <v>5</v>
      </c>
      <c r="E38" s="266">
        <v>496.25</v>
      </c>
      <c r="F38" s="267">
        <v>14887.6</v>
      </c>
      <c r="G38" s="275">
        <f>+E38*12.5</f>
        <v>6203.125</v>
      </c>
      <c r="H38" s="275"/>
      <c r="I38" s="275">
        <f>+E38*0.14</f>
        <v>69.475000000000009</v>
      </c>
      <c r="J38" s="281">
        <f t="shared" si="0"/>
        <v>6133.65</v>
      </c>
      <c r="K38" s="284">
        <v>686.81</v>
      </c>
    </row>
    <row r="39" spans="1:11" x14ac:dyDescent="0.25">
      <c r="A39" s="265" t="s">
        <v>81</v>
      </c>
      <c r="B39" s="266" t="s">
        <v>168</v>
      </c>
      <c r="C39" s="266" t="s">
        <v>135</v>
      </c>
      <c r="D39" s="266">
        <v>6</v>
      </c>
      <c r="E39" s="266">
        <v>466.72</v>
      </c>
      <c r="F39" s="267">
        <v>14001.624</v>
      </c>
      <c r="G39" s="275">
        <f>+E39*35.41</f>
        <v>16526.555199999999</v>
      </c>
      <c r="H39" s="275"/>
      <c r="I39" s="272"/>
      <c r="J39" s="281">
        <f t="shared" si="0"/>
        <v>16526.555199999999</v>
      </c>
      <c r="K39" s="284">
        <v>2990.72</v>
      </c>
    </row>
    <row r="40" spans="1:11" x14ac:dyDescent="0.25">
      <c r="A40" s="265" t="s">
        <v>107</v>
      </c>
      <c r="B40" s="266" t="s">
        <v>138</v>
      </c>
      <c r="C40" s="266" t="s">
        <v>109</v>
      </c>
      <c r="D40" s="266">
        <v>6</v>
      </c>
      <c r="E40" s="266">
        <v>466.72</v>
      </c>
      <c r="F40" s="267">
        <v>14001.624</v>
      </c>
      <c r="G40" s="275">
        <f t="shared" si="1"/>
        <v>23336</v>
      </c>
      <c r="H40" s="275"/>
      <c r="I40" s="275">
        <f>+E40*0.14</f>
        <v>65.340800000000016</v>
      </c>
      <c r="J40" s="281">
        <f t="shared" si="0"/>
        <v>23270.659199999998</v>
      </c>
      <c r="K40" s="284">
        <v>4864.17</v>
      </c>
    </row>
    <row r="41" spans="1:11" ht="30" x14ac:dyDescent="0.25">
      <c r="A41" s="265" t="s">
        <v>156</v>
      </c>
      <c r="B41" s="268" t="s">
        <v>225</v>
      </c>
      <c r="C41" s="268" t="s">
        <v>160</v>
      </c>
      <c r="D41" s="266">
        <v>6</v>
      </c>
      <c r="E41" s="268">
        <v>452.77</v>
      </c>
      <c r="F41" s="267">
        <v>13583</v>
      </c>
      <c r="G41" s="275">
        <f>+E41*18.74</f>
        <v>8484.9097999999994</v>
      </c>
      <c r="H41" s="278"/>
      <c r="I41" s="272"/>
      <c r="J41" s="281">
        <f t="shared" si="0"/>
        <v>8484.9097999999994</v>
      </c>
      <c r="K41" s="285">
        <v>1174.2</v>
      </c>
    </row>
    <row r="42" spans="1:11" ht="30" x14ac:dyDescent="0.25">
      <c r="A42" s="265" t="s">
        <v>157</v>
      </c>
      <c r="B42" s="268" t="s">
        <v>197</v>
      </c>
      <c r="C42" s="268" t="s">
        <v>160</v>
      </c>
      <c r="D42" s="266">
        <v>6</v>
      </c>
      <c r="E42" s="268">
        <v>452.77</v>
      </c>
      <c r="F42" s="267">
        <v>13583</v>
      </c>
      <c r="G42" s="275">
        <f>+E42*10.69</f>
        <v>4840.1112999999996</v>
      </c>
      <c r="H42" s="278"/>
      <c r="I42" s="275">
        <f>+E42*0.28</f>
        <v>126.77560000000001</v>
      </c>
      <c r="J42" s="281">
        <f>+G42-H42-I42</f>
        <v>4713.3356999999996</v>
      </c>
      <c r="K42" s="285">
        <v>414.72</v>
      </c>
    </row>
    <row r="43" spans="1:11" ht="30" x14ac:dyDescent="0.25">
      <c r="A43" s="265" t="s">
        <v>158</v>
      </c>
      <c r="B43" s="268" t="s">
        <v>169</v>
      </c>
      <c r="C43" s="268" t="s">
        <v>226</v>
      </c>
      <c r="D43" s="266">
        <v>6</v>
      </c>
      <c r="E43" s="268">
        <v>452.77</v>
      </c>
      <c r="F43" s="267">
        <v>13583</v>
      </c>
      <c r="G43" s="275">
        <f>+E43*35.41</f>
        <v>16032.585699999998</v>
      </c>
      <c r="H43" s="278"/>
      <c r="I43" s="272"/>
      <c r="J43" s="281">
        <f t="shared" si="0"/>
        <v>16032.585699999998</v>
      </c>
      <c r="K43" s="285">
        <v>2874.54</v>
      </c>
    </row>
    <row r="44" spans="1:11" ht="15.75" thickBot="1" x14ac:dyDescent="0.3">
      <c r="A44" s="269" t="s">
        <v>86</v>
      </c>
      <c r="B44" s="270" t="s">
        <v>200</v>
      </c>
      <c r="C44" s="270" t="s">
        <v>1</v>
      </c>
      <c r="D44" s="270">
        <v>7</v>
      </c>
      <c r="E44" s="270">
        <v>866.67</v>
      </c>
      <c r="F44" s="271">
        <v>26000</v>
      </c>
      <c r="G44" s="279">
        <f>+E44*12.5</f>
        <v>10833.375</v>
      </c>
      <c r="H44" s="279"/>
      <c r="I44" s="273"/>
      <c r="J44" s="282">
        <f t="shared" si="0"/>
        <v>10833.375</v>
      </c>
      <c r="K44" s="286">
        <v>1675.84</v>
      </c>
    </row>
    <row r="45" spans="1:11" ht="15.75" thickBot="1" x14ac:dyDescent="0.3">
      <c r="C45" s="14" t="s">
        <v>56</v>
      </c>
      <c r="D45" s="15"/>
      <c r="E45" s="287">
        <f>SUM(E6:E44)</f>
        <v>18707.981199999995</v>
      </c>
      <c r="F45" s="287">
        <f t="shared" ref="F45:K45" si="3">SUM(F6:F44)</f>
        <v>561240.50000000023</v>
      </c>
      <c r="G45" s="287">
        <f t="shared" si="3"/>
        <v>499639.47039999993</v>
      </c>
      <c r="H45" s="287">
        <f t="shared" si="3"/>
        <v>12300</v>
      </c>
      <c r="I45" s="287">
        <f t="shared" si="3"/>
        <v>1594.4893999999999</v>
      </c>
      <c r="J45" s="287">
        <f t="shared" si="3"/>
        <v>485744.98099999991</v>
      </c>
      <c r="K45" s="288">
        <f t="shared" si="3"/>
        <v>87088.19</v>
      </c>
    </row>
    <row r="46" spans="1:11" x14ac:dyDescent="0.25">
      <c r="F46" s="16"/>
      <c r="G46" s="17"/>
      <c r="H46" s="17"/>
      <c r="I46" s="17"/>
      <c r="J46" s="17"/>
      <c r="K46" s="17"/>
    </row>
    <row r="47" spans="1:11" hidden="1" x14ac:dyDescent="0.25">
      <c r="F47" s="18"/>
      <c r="G47" s="11"/>
      <c r="H47" s="11"/>
      <c r="I47" s="11"/>
      <c r="J47" s="11"/>
      <c r="K47" s="11"/>
    </row>
    <row r="48" spans="1:11" s="9" customFormat="1" ht="15.75" hidden="1" customHeight="1" x14ac:dyDescent="0.25">
      <c r="F48" s="19"/>
      <c r="G48" s="12"/>
      <c r="H48" s="12"/>
      <c r="I48" s="12"/>
      <c r="J48" s="12"/>
      <c r="K48" s="12"/>
    </row>
    <row r="49" spans="6:11" s="20" customFormat="1" hidden="1" x14ac:dyDescent="0.25">
      <c r="F49" s="7"/>
      <c r="G49" s="21"/>
      <c r="H49" s="21"/>
      <c r="I49" s="21"/>
      <c r="J49" s="21"/>
      <c r="K49" s="21"/>
    </row>
    <row r="50" spans="6:11" hidden="1" x14ac:dyDescent="0.25">
      <c r="G50" s="22"/>
      <c r="H50" s="22"/>
      <c r="I50" s="22"/>
      <c r="J50" s="22"/>
      <c r="K50" s="23"/>
    </row>
    <row r="51" spans="6:11" hidden="1" x14ac:dyDescent="0.25">
      <c r="G51" s="22"/>
      <c r="H51" s="22"/>
      <c r="I51" s="22"/>
      <c r="J51" s="22"/>
      <c r="K51" s="24"/>
    </row>
    <row r="52" spans="6:11" hidden="1" x14ac:dyDescent="0.25">
      <c r="G52" s="22"/>
      <c r="H52" s="22"/>
      <c r="I52" s="22"/>
      <c r="J52" s="22"/>
      <c r="K52" s="22"/>
    </row>
    <row r="53" spans="6:11" hidden="1" x14ac:dyDescent="0.25">
      <c r="G53" s="22"/>
      <c r="H53" s="22"/>
      <c r="I53" s="22"/>
      <c r="J53" s="22"/>
      <c r="K53" s="25"/>
    </row>
    <row r="54" spans="6:11" hidden="1" x14ac:dyDescent="0.25">
      <c r="G54" s="22"/>
      <c r="H54" s="22"/>
      <c r="I54" s="22"/>
      <c r="J54" s="22"/>
      <c r="K54" s="25"/>
    </row>
    <row r="55" spans="6:11" hidden="1" x14ac:dyDescent="0.25">
      <c r="G55" s="22"/>
      <c r="H55" s="22"/>
      <c r="I55" s="22"/>
      <c r="J55" s="22"/>
      <c r="K55" s="25"/>
    </row>
    <row r="56" spans="6:11" hidden="1" x14ac:dyDescent="0.25">
      <c r="G56" s="22"/>
      <c r="H56" s="22"/>
      <c r="I56" s="22"/>
      <c r="J56" s="22"/>
      <c r="K56" s="25"/>
    </row>
    <row r="57" spans="6:11" hidden="1" x14ac:dyDescent="0.25">
      <c r="G57" s="22"/>
      <c r="H57" s="22"/>
      <c r="I57" s="22"/>
      <c r="J57" s="22"/>
      <c r="K57" s="24"/>
    </row>
    <row r="58" spans="6:11" hidden="1" x14ac:dyDescent="0.25">
      <c r="F58" s="26"/>
      <c r="G58" s="26"/>
      <c r="H58" s="26"/>
      <c r="I58" s="26"/>
      <c r="J58" s="26"/>
      <c r="K58" s="26"/>
    </row>
    <row r="59" spans="6:11" hidden="1" x14ac:dyDescent="0.25">
      <c r="F59" s="27"/>
      <c r="G59" s="27"/>
      <c r="H59" s="27"/>
      <c r="I59" s="27"/>
      <c r="J59" s="27"/>
      <c r="K59" s="27"/>
    </row>
    <row r="60" spans="6:11" hidden="1" x14ac:dyDescent="0.25">
      <c r="F60" s="28"/>
      <c r="G60" s="28"/>
      <c r="H60" s="28"/>
      <c r="I60" s="28"/>
      <c r="J60" s="28"/>
      <c r="K60" s="28"/>
    </row>
    <row r="61" spans="6:11" hidden="1" x14ac:dyDescent="0.25"/>
    <row r="62" spans="6:11" hidden="1" x14ac:dyDescent="0.25"/>
    <row r="63" spans="6:11" hidden="1" x14ac:dyDescent="0.25"/>
    <row r="64" spans="6:11" hidden="1" x14ac:dyDescent="0.25"/>
    <row r="67" spans="2:12" x14ac:dyDescent="0.2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 ht="15.75" thickBot="1" x14ac:dyDescent="0.3">
      <c r="B68" s="102"/>
      <c r="C68" s="293"/>
      <c r="D68" s="293"/>
      <c r="E68" s="257"/>
      <c r="F68" s="102"/>
      <c r="G68" s="161"/>
      <c r="H68" s="161"/>
      <c r="I68" s="161"/>
      <c r="J68" s="160"/>
      <c r="K68" s="155"/>
      <c r="L68" s="102"/>
    </row>
    <row r="69" spans="2:12" x14ac:dyDescent="0.25">
      <c r="B69" s="102"/>
      <c r="C69" s="304" t="s">
        <v>91</v>
      </c>
      <c r="D69" s="295"/>
      <c r="E69" s="258"/>
      <c r="F69" s="102"/>
      <c r="G69" s="303" t="s">
        <v>202</v>
      </c>
      <c r="H69" s="296"/>
      <c r="I69" s="296"/>
      <c r="J69" s="155"/>
      <c r="K69" s="257"/>
      <c r="L69" s="257"/>
    </row>
    <row r="70" spans="2:12" x14ac:dyDescent="0.2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</sheetData>
  <mergeCells count="4">
    <mergeCell ref="C3:J3"/>
    <mergeCell ref="C68:D68"/>
    <mergeCell ref="C69:D69"/>
    <mergeCell ref="G69:I69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28A92-A525-4C08-BE0F-B07AA4F51104}">
  <sheetPr>
    <pageSetUpPr fitToPage="1"/>
  </sheetPr>
  <dimension ref="A3:X79"/>
  <sheetViews>
    <sheetView topLeftCell="D1" zoomScale="70" zoomScaleNormal="70" workbookViewId="0">
      <selection activeCell="V1" sqref="V1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5.85546875" style="102" bestFit="1" customWidth="1"/>
    <col min="8" max="8" width="14.140625" style="102" hidden="1" customWidth="1"/>
    <col min="9" max="9" width="13.28515625" style="102" customWidth="1"/>
    <col min="10" max="10" width="13.28515625" style="102" hidden="1" customWidth="1"/>
    <col min="11" max="11" width="17.42578125" style="102" bestFit="1" customWidth="1"/>
    <col min="12" max="12" width="9.42578125" style="102" hidden="1" customWidth="1"/>
    <col min="13" max="13" width="14.42578125" style="102" hidden="1" customWidth="1"/>
    <col min="14" max="16" width="15.85546875" style="102" bestFit="1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4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4" ht="16.5" customHeight="1" x14ac:dyDescent="0.25">
      <c r="B4" s="291" t="s">
        <v>228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4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2" t="s">
        <v>206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4" x14ac:dyDescent="0.25">
      <c r="B6" s="121" t="s">
        <v>13</v>
      </c>
      <c r="C6" s="5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4" ht="21" x14ac:dyDescent="0.35">
      <c r="B7" s="102" t="s">
        <v>15</v>
      </c>
      <c r="C7" s="125" t="s">
        <v>16</v>
      </c>
      <c r="D7" s="102" t="s">
        <v>19</v>
      </c>
      <c r="E7" s="103">
        <v>19461.365000000002</v>
      </c>
      <c r="F7" s="126">
        <v>15</v>
      </c>
      <c r="G7" s="141"/>
      <c r="H7" s="103"/>
      <c r="I7" s="103"/>
      <c r="J7" s="103"/>
      <c r="K7" s="103">
        <f>E7-I7</f>
        <v>19461.365000000002</v>
      </c>
      <c r="L7" s="103">
        <v>0</v>
      </c>
      <c r="M7" s="103"/>
      <c r="N7" s="103">
        <v>3721.35</v>
      </c>
      <c r="O7" s="103">
        <v>0.16</v>
      </c>
      <c r="P7" s="253">
        <f>ROUND(E7*0.115,2)</f>
        <v>2238.06</v>
      </c>
      <c r="Q7" s="103">
        <f>SUM(N7:P7)+G7</f>
        <v>5959.57</v>
      </c>
      <c r="R7" s="208">
        <f>K7-Q7</f>
        <v>13501.795000000002</v>
      </c>
      <c r="S7" s="29">
        <v>790.02500000000009</v>
      </c>
      <c r="T7" s="128">
        <f>+E7*17.5%+E7*3%</f>
        <v>3989.5798249999998</v>
      </c>
      <c r="U7" s="244">
        <f>ROUND(+E7*2%,2)</f>
        <v>389.23</v>
      </c>
      <c r="V7" s="129">
        <f>SUM(S7:U7)</f>
        <v>5168.8348249999999</v>
      </c>
      <c r="X7" s="169"/>
    </row>
    <row r="8" spans="2:24" ht="21" x14ac:dyDescent="0.35">
      <c r="B8" s="102" t="s">
        <v>17</v>
      </c>
      <c r="C8" s="30" t="s">
        <v>218</v>
      </c>
      <c r="D8" s="102" t="s">
        <v>2</v>
      </c>
      <c r="E8" s="103">
        <v>4997.8599999999997</v>
      </c>
      <c r="F8" s="126">
        <v>13</v>
      </c>
      <c r="G8" s="141"/>
      <c r="H8" s="103"/>
      <c r="I8" s="130"/>
      <c r="J8" s="103"/>
      <c r="K8" s="103">
        <f>E8-I8</f>
        <v>4997.8599999999997</v>
      </c>
      <c r="L8" s="103">
        <v>0</v>
      </c>
      <c r="M8" s="103"/>
      <c r="N8" s="103">
        <v>461.21</v>
      </c>
      <c r="O8" s="103">
        <v>0.08</v>
      </c>
      <c r="P8" s="237"/>
      <c r="Q8" s="103">
        <f>SUM(N8:P8)+G8</f>
        <v>461.28999999999996</v>
      </c>
      <c r="R8" s="208">
        <f>K8-Q8</f>
        <v>4536.57</v>
      </c>
      <c r="S8" s="29">
        <v>317.36</v>
      </c>
      <c r="T8" s="128"/>
      <c r="U8" s="244"/>
      <c r="V8" s="129">
        <f>SUM(S8:U8)</f>
        <v>317.36</v>
      </c>
      <c r="X8" s="169"/>
    </row>
    <row r="9" spans="2:24" ht="18.75" x14ac:dyDescent="0.3">
      <c r="B9" s="131" t="s">
        <v>20</v>
      </c>
      <c r="C9" s="132"/>
      <c r="D9" s="133"/>
      <c r="E9" s="135">
        <f>SUM(E7:E8)</f>
        <v>24459.225000000002</v>
      </c>
      <c r="F9" s="135"/>
      <c r="G9" s="135">
        <f>+G8+G7</f>
        <v>0</v>
      </c>
      <c r="H9" s="135"/>
      <c r="I9" s="135">
        <f t="shared" ref="I9:J9" si="0">SUM(I7:I8)</f>
        <v>0</v>
      </c>
      <c r="J9" s="135">
        <f t="shared" si="0"/>
        <v>0</v>
      </c>
      <c r="K9" s="135">
        <f>SUM(K7:K8)</f>
        <v>24459.225000000002</v>
      </c>
      <c r="L9" s="135">
        <f t="shared" ref="L9:V9" si="1">SUM(L7:L8)</f>
        <v>0</v>
      </c>
      <c r="M9" s="135">
        <f t="shared" si="1"/>
        <v>0</v>
      </c>
      <c r="N9" s="135">
        <f t="shared" si="1"/>
        <v>4182.5599999999995</v>
      </c>
      <c r="O9" s="135">
        <f t="shared" si="1"/>
        <v>0.24</v>
      </c>
      <c r="P9" s="135">
        <f>SUM(P7:P8)</f>
        <v>2238.06</v>
      </c>
      <c r="Q9" s="135">
        <f t="shared" si="1"/>
        <v>6420.86</v>
      </c>
      <c r="R9" s="135">
        <f>SUM(R7:R8)</f>
        <v>18038.365000000002</v>
      </c>
      <c r="S9" s="135">
        <f t="shared" si="1"/>
        <v>1107.3850000000002</v>
      </c>
      <c r="T9" s="135">
        <f t="shared" si="1"/>
        <v>3989.5798249999998</v>
      </c>
      <c r="U9" s="135">
        <f t="shared" si="1"/>
        <v>389.23</v>
      </c>
      <c r="V9" s="135">
        <f t="shared" si="1"/>
        <v>5486.1948249999996</v>
      </c>
      <c r="X9" s="169"/>
    </row>
    <row r="10" spans="2:24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4" ht="18.75" x14ac:dyDescent="0.3">
      <c r="B11" s="138" t="s">
        <v>21</v>
      </c>
      <c r="C11" s="31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4" ht="21" x14ac:dyDescent="0.35">
      <c r="B12" s="102" t="s">
        <v>23</v>
      </c>
      <c r="C12" s="125" t="s">
        <v>191</v>
      </c>
      <c r="D12" s="102" t="s">
        <v>114</v>
      </c>
      <c r="E12" s="103">
        <v>13000</v>
      </c>
      <c r="F12" s="126">
        <v>15</v>
      </c>
      <c r="G12" s="127">
        <v>2223</v>
      </c>
      <c r="H12" s="103"/>
      <c r="I12" s="103"/>
      <c r="J12" s="103"/>
      <c r="K12" s="103">
        <f t="shared" ref="K12:K17" si="2">E12-I12</f>
        <v>13000</v>
      </c>
      <c r="L12" s="103">
        <v>0</v>
      </c>
      <c r="M12" s="103"/>
      <c r="N12" s="103">
        <v>2161.23</v>
      </c>
      <c r="O12" s="103">
        <v>-0.03</v>
      </c>
      <c r="P12" s="253">
        <f t="shared" ref="P12:P18" si="3">ROUND(E12*0.115,2)</f>
        <v>1495</v>
      </c>
      <c r="Q12" s="103">
        <f t="shared" ref="Q12:Q18" si="4">SUM(N12:P12)+G12</f>
        <v>5879.2</v>
      </c>
      <c r="R12" s="208">
        <f t="shared" ref="R12:R21" si="5">K12-Q12</f>
        <v>7120.8</v>
      </c>
      <c r="S12" s="29">
        <v>597.69499999999994</v>
      </c>
      <c r="T12" s="128">
        <f>ROUND(+E12*17.5%,2)+ROUND(E12*3%,2)</f>
        <v>2665</v>
      </c>
      <c r="U12" s="244">
        <f t="shared" ref="U12:U18" si="6">ROUND(+E12*2%,2)</f>
        <v>260</v>
      </c>
      <c r="V12" s="129">
        <f t="shared" ref="V12:V20" si="7">SUM(S12:U12)</f>
        <v>3522.6949999999997</v>
      </c>
      <c r="X12" s="169"/>
    </row>
    <row r="13" spans="2:24" ht="21" x14ac:dyDescent="0.35">
      <c r="B13" s="102" t="s">
        <v>24</v>
      </c>
      <c r="C13" s="125" t="s">
        <v>192</v>
      </c>
      <c r="D13" s="102" t="s">
        <v>116</v>
      </c>
      <c r="E13" s="103">
        <v>7000.8</v>
      </c>
      <c r="F13" s="126">
        <v>15</v>
      </c>
      <c r="G13" s="141"/>
      <c r="H13" s="103"/>
      <c r="I13" s="139"/>
      <c r="J13" s="140"/>
      <c r="K13" s="103">
        <f>E13-I13</f>
        <v>7000.8</v>
      </c>
      <c r="L13" s="103">
        <v>0</v>
      </c>
      <c r="M13" s="103"/>
      <c r="N13" s="103">
        <v>857.15</v>
      </c>
      <c r="O13" s="103">
        <v>0.05</v>
      </c>
      <c r="P13" s="141"/>
      <c r="Q13" s="103">
        <f t="shared" si="4"/>
        <v>857.19999999999993</v>
      </c>
      <c r="R13" s="208">
        <f t="shared" si="5"/>
        <v>6143.6</v>
      </c>
      <c r="S13" s="29">
        <v>419.125</v>
      </c>
      <c r="T13" s="128"/>
      <c r="U13" s="128"/>
      <c r="V13" s="129">
        <f t="shared" si="7"/>
        <v>419.125</v>
      </c>
      <c r="X13" s="169"/>
    </row>
    <row r="14" spans="2:24" ht="21" x14ac:dyDescent="0.35">
      <c r="B14" s="102" t="s">
        <v>25</v>
      </c>
      <c r="C14" s="30" t="s">
        <v>174</v>
      </c>
      <c r="D14" s="102" t="s">
        <v>115</v>
      </c>
      <c r="E14" s="103"/>
      <c r="F14" s="126">
        <v>15</v>
      </c>
      <c r="G14" s="127"/>
      <c r="H14" s="141"/>
      <c r="I14" s="139"/>
      <c r="J14" s="140"/>
      <c r="K14" s="103">
        <f>E14-I14</f>
        <v>0</v>
      </c>
      <c r="L14" s="103">
        <v>0</v>
      </c>
      <c r="M14" s="103"/>
      <c r="N14" s="103"/>
      <c r="O14" s="103"/>
      <c r="P14" s="237"/>
      <c r="Q14" s="103"/>
      <c r="R14" s="208">
        <f>K14-Q14</f>
        <v>0</v>
      </c>
      <c r="S14" s="29">
        <v>251.47</v>
      </c>
      <c r="T14" s="128">
        <v>1435.16</v>
      </c>
      <c r="U14" s="244">
        <v>140.02000000000001</v>
      </c>
      <c r="V14" s="129">
        <f t="shared" si="7"/>
        <v>1826.65</v>
      </c>
      <c r="X14" s="169"/>
    </row>
    <row r="15" spans="2:24" ht="21" x14ac:dyDescent="0.35">
      <c r="B15" s="102" t="s">
        <v>26</v>
      </c>
      <c r="C15" s="30" t="s">
        <v>193</v>
      </c>
      <c r="D15" s="102" t="s">
        <v>37</v>
      </c>
      <c r="E15" s="103">
        <v>7443.8</v>
      </c>
      <c r="F15" s="126">
        <v>15</v>
      </c>
      <c r="G15" s="103"/>
      <c r="H15" s="103"/>
      <c r="I15" s="139"/>
      <c r="J15" s="103"/>
      <c r="K15" s="103">
        <f t="shared" si="2"/>
        <v>7443.8</v>
      </c>
      <c r="L15" s="103">
        <v>0</v>
      </c>
      <c r="M15" s="103"/>
      <c r="N15" s="103">
        <v>951.78</v>
      </c>
      <c r="O15" s="103">
        <v>0.02</v>
      </c>
      <c r="P15" s="141"/>
      <c r="Q15" s="103">
        <f t="shared" si="4"/>
        <v>951.8</v>
      </c>
      <c r="R15" s="208">
        <f t="shared" si="5"/>
        <v>6492</v>
      </c>
      <c r="S15" s="29">
        <v>432.30499999999995</v>
      </c>
      <c r="T15" s="128"/>
      <c r="U15" s="128"/>
      <c r="V15" s="129">
        <f t="shared" si="7"/>
        <v>432.30499999999995</v>
      </c>
      <c r="X15" s="169"/>
    </row>
    <row r="16" spans="2:24" ht="21" x14ac:dyDescent="0.35">
      <c r="B16" s="102" t="s">
        <v>27</v>
      </c>
      <c r="C16" s="125" t="s">
        <v>40</v>
      </c>
      <c r="D16" s="102" t="s">
        <v>117</v>
      </c>
      <c r="E16" s="103">
        <v>4918.3649999999998</v>
      </c>
      <c r="F16" s="126">
        <v>15</v>
      </c>
      <c r="G16" s="127">
        <v>1640</v>
      </c>
      <c r="H16" s="103"/>
      <c r="I16" s="139"/>
      <c r="J16" s="103"/>
      <c r="K16" s="103">
        <f>E16-I16</f>
        <v>4918.3649999999998</v>
      </c>
      <c r="L16" s="103">
        <v>0</v>
      </c>
      <c r="M16" s="103"/>
      <c r="N16" s="103">
        <v>447.61</v>
      </c>
      <c r="O16" s="103">
        <v>-0.05</v>
      </c>
      <c r="P16" s="237">
        <f>ROUND(E16*0.115,2)</f>
        <v>565.61</v>
      </c>
      <c r="Q16" s="103">
        <f>SUM(N16:P16)+G16</f>
        <v>2653.17</v>
      </c>
      <c r="R16" s="208">
        <f t="shared" si="5"/>
        <v>2265.1949999999997</v>
      </c>
      <c r="S16" s="29">
        <v>361.11500000000001</v>
      </c>
      <c r="T16" s="128">
        <f t="shared" ref="T16:T18" si="8">ROUND(+E16*17.5%,2)+ROUND(E16*3%,2)</f>
        <v>1008.26</v>
      </c>
      <c r="U16" s="244">
        <f t="shared" si="6"/>
        <v>98.37</v>
      </c>
      <c r="V16" s="129">
        <f t="shared" si="7"/>
        <v>1467.7449999999999</v>
      </c>
      <c r="X16" s="169"/>
    </row>
    <row r="17" spans="2:24" ht="21" x14ac:dyDescent="0.35">
      <c r="B17" s="102" t="s">
        <v>61</v>
      </c>
      <c r="C17" s="125" t="s">
        <v>43</v>
      </c>
      <c r="D17" s="102" t="s">
        <v>3</v>
      </c>
      <c r="E17" s="103">
        <v>4358.17</v>
      </c>
      <c r="F17" s="126">
        <v>15</v>
      </c>
      <c r="G17" s="127">
        <v>1927.08</v>
      </c>
      <c r="H17" s="103"/>
      <c r="I17" s="32"/>
      <c r="J17" s="103"/>
      <c r="K17" s="103">
        <f t="shared" si="2"/>
        <v>4358.17</v>
      </c>
      <c r="L17" s="103"/>
      <c r="M17" s="103"/>
      <c r="N17" s="103">
        <v>357.97</v>
      </c>
      <c r="O17" s="103">
        <v>0.13</v>
      </c>
      <c r="P17" s="253">
        <f t="shared" si="3"/>
        <v>501.19</v>
      </c>
      <c r="Q17" s="103">
        <f t="shared" si="4"/>
        <v>2786.37</v>
      </c>
      <c r="R17" s="208">
        <f t="shared" si="5"/>
        <v>1571.8000000000002</v>
      </c>
      <c r="S17" s="29">
        <v>326.7</v>
      </c>
      <c r="T17" s="128">
        <f t="shared" si="8"/>
        <v>893.43</v>
      </c>
      <c r="U17" s="244">
        <f t="shared" si="6"/>
        <v>87.16</v>
      </c>
      <c r="V17" s="129">
        <f t="shared" si="7"/>
        <v>1307.29</v>
      </c>
      <c r="X17" s="169"/>
    </row>
    <row r="18" spans="2:24" ht="21" x14ac:dyDescent="0.35">
      <c r="B18" s="102" t="s">
        <v>62</v>
      </c>
      <c r="C18" s="125" t="s">
        <v>42</v>
      </c>
      <c r="D18" s="102" t="s">
        <v>119</v>
      </c>
      <c r="E18" s="103">
        <v>4918.3649999999998</v>
      </c>
      <c r="F18" s="126">
        <v>15</v>
      </c>
      <c r="G18" s="127">
        <v>1340.03</v>
      </c>
      <c r="H18" s="130"/>
      <c r="I18" s="139"/>
      <c r="J18" s="103"/>
      <c r="K18" s="103">
        <f>E18-I18+H18</f>
        <v>4918.3649999999998</v>
      </c>
      <c r="L18" s="103"/>
      <c r="M18" s="103"/>
      <c r="N18" s="103">
        <v>447.61</v>
      </c>
      <c r="O18" s="103">
        <v>-0.08</v>
      </c>
      <c r="P18" s="253">
        <f t="shared" si="3"/>
        <v>565.61</v>
      </c>
      <c r="Q18" s="103">
        <f t="shared" si="4"/>
        <v>2353.17</v>
      </c>
      <c r="R18" s="208">
        <f t="shared" si="5"/>
        <v>2565.1949999999997</v>
      </c>
      <c r="S18" s="29">
        <v>361.11500000000001</v>
      </c>
      <c r="T18" s="128">
        <f t="shared" si="8"/>
        <v>1008.26</v>
      </c>
      <c r="U18" s="244">
        <f t="shared" si="6"/>
        <v>98.37</v>
      </c>
      <c r="V18" s="129">
        <f t="shared" si="7"/>
        <v>1467.7449999999999</v>
      </c>
      <c r="X18" s="169"/>
    </row>
    <row r="19" spans="2:24" ht="21" x14ac:dyDescent="0.35">
      <c r="B19" s="158" t="s">
        <v>187</v>
      </c>
      <c r="C19" s="30" t="s">
        <v>199</v>
      </c>
      <c r="D19" s="158" t="s">
        <v>188</v>
      </c>
      <c r="E19" s="103">
        <v>4918.3649999999998</v>
      </c>
      <c r="F19" s="126">
        <v>15</v>
      </c>
      <c r="G19" s="141"/>
      <c r="H19" s="130"/>
      <c r="I19" s="139"/>
      <c r="J19" s="103"/>
      <c r="K19" s="103">
        <f>E19-I19+H19</f>
        <v>4918.3649999999998</v>
      </c>
      <c r="L19" s="103"/>
      <c r="M19" s="103"/>
      <c r="N19" s="103">
        <v>447.61</v>
      </c>
      <c r="O19" s="103">
        <v>-0.04</v>
      </c>
      <c r="P19" s="141"/>
      <c r="Q19" s="103">
        <f t="shared" ref="Q19" si="9">SUM(N19:P19)+G19</f>
        <v>447.57</v>
      </c>
      <c r="R19" s="208">
        <f t="shared" si="5"/>
        <v>4470.7950000000001</v>
      </c>
      <c r="S19" s="29">
        <v>361.11500000000001</v>
      </c>
      <c r="T19" s="128"/>
      <c r="U19" s="128"/>
      <c r="V19" s="129">
        <f t="shared" si="7"/>
        <v>361.11500000000001</v>
      </c>
      <c r="X19" s="169"/>
    </row>
    <row r="20" spans="2:24" ht="21" x14ac:dyDescent="0.35">
      <c r="B20" s="158" t="s">
        <v>213</v>
      </c>
      <c r="C20" s="30" t="s">
        <v>214</v>
      </c>
      <c r="D20" s="158" t="s">
        <v>3</v>
      </c>
      <c r="E20" s="103">
        <v>4358.17</v>
      </c>
      <c r="F20" s="126">
        <v>15</v>
      </c>
      <c r="G20" s="141"/>
      <c r="H20" s="103"/>
      <c r="I20" s="32"/>
      <c r="J20" s="103"/>
      <c r="K20" s="103">
        <f t="shared" ref="K20:K21" si="10">E20-I20</f>
        <v>4358.17</v>
      </c>
      <c r="L20" s="103"/>
      <c r="M20" s="103"/>
      <c r="N20" s="103">
        <v>357.97</v>
      </c>
      <c r="O20" s="103">
        <v>0</v>
      </c>
      <c r="P20" s="141"/>
      <c r="Q20" s="103">
        <f t="shared" ref="Q20" si="11">SUM(N20:P20)+G20</f>
        <v>357.97</v>
      </c>
      <c r="R20" s="208">
        <f t="shared" si="5"/>
        <v>4000.2</v>
      </c>
      <c r="S20" s="29">
        <v>326.7</v>
      </c>
      <c r="T20" s="128"/>
      <c r="U20" s="244"/>
      <c r="V20" s="129">
        <f t="shared" si="7"/>
        <v>326.7</v>
      </c>
      <c r="X20" s="169"/>
    </row>
    <row r="21" spans="2:24" ht="21" x14ac:dyDescent="0.35">
      <c r="B21" s="158" t="s">
        <v>215</v>
      </c>
      <c r="C21" s="30" t="s">
        <v>217</v>
      </c>
      <c r="D21" s="158" t="s">
        <v>3</v>
      </c>
      <c r="E21" s="103">
        <v>4358.17</v>
      </c>
      <c r="F21" s="126">
        <v>15</v>
      </c>
      <c r="G21" s="141"/>
      <c r="H21" s="103"/>
      <c r="I21" s="32"/>
      <c r="J21" s="103"/>
      <c r="K21" s="103">
        <f t="shared" si="10"/>
        <v>4358.17</v>
      </c>
      <c r="L21" s="103"/>
      <c r="M21" s="103"/>
      <c r="N21" s="103">
        <v>357.97</v>
      </c>
      <c r="O21" s="103">
        <v>0</v>
      </c>
      <c r="P21" s="141"/>
      <c r="Q21" s="103">
        <f t="shared" ref="Q21" si="12">SUM(N21:P21)+G21</f>
        <v>357.97</v>
      </c>
      <c r="R21" s="208">
        <f t="shared" si="5"/>
        <v>4000.2</v>
      </c>
      <c r="S21" s="29">
        <v>326.7</v>
      </c>
      <c r="T21" s="128"/>
      <c r="U21" s="244"/>
      <c r="V21" s="129">
        <f t="shared" ref="V21" si="13">SUM(S21:U21)</f>
        <v>326.7</v>
      </c>
      <c r="X21" s="169"/>
    </row>
    <row r="22" spans="2:24" ht="18.75" x14ac:dyDescent="0.3">
      <c r="B22" s="138" t="s">
        <v>20</v>
      </c>
      <c r="C22" s="194"/>
      <c r="D22" s="133"/>
      <c r="E22" s="135">
        <f>SUM(E12:E21)</f>
        <v>55274.204999999987</v>
      </c>
      <c r="F22" s="135"/>
      <c r="G22" s="135">
        <f>+G19+G17+G16+G12+G13+G14+G18</f>
        <v>7130.11</v>
      </c>
      <c r="H22" s="135"/>
      <c r="I22" s="135">
        <f>SUM(I12:I19)</f>
        <v>0</v>
      </c>
      <c r="J22" s="135">
        <f>SUM(J12:J19)</f>
        <v>0</v>
      </c>
      <c r="K22" s="135">
        <f>SUM(K12:M21)</f>
        <v>55274.204999999987</v>
      </c>
      <c r="L22" s="135">
        <f>SUM(L12:N21)</f>
        <v>6386.9</v>
      </c>
      <c r="M22" s="135">
        <f>SUM(M12:O21)</f>
        <v>6386.9000000000005</v>
      </c>
      <c r="N22" s="135">
        <f t="shared" ref="N22:V22" si="14">SUM(N12:N21)</f>
        <v>6386.9</v>
      </c>
      <c r="O22" s="135">
        <f t="shared" si="14"/>
        <v>6.9388939039072284E-18</v>
      </c>
      <c r="P22" s="135">
        <f t="shared" si="14"/>
        <v>3127.4100000000003</v>
      </c>
      <c r="Q22" s="135">
        <f t="shared" si="14"/>
        <v>16644.419999999998</v>
      </c>
      <c r="R22" s="135">
        <f t="shared" si="14"/>
        <v>38629.784999999996</v>
      </c>
      <c r="S22" s="135">
        <f t="shared" si="14"/>
        <v>3764.0399999999991</v>
      </c>
      <c r="T22" s="135">
        <f t="shared" si="14"/>
        <v>7010.1100000000006</v>
      </c>
      <c r="U22" s="135">
        <f t="shared" si="14"/>
        <v>683.92</v>
      </c>
      <c r="V22" s="135">
        <f t="shared" si="14"/>
        <v>11458.070000000002</v>
      </c>
      <c r="X22" s="169"/>
    </row>
    <row r="23" spans="2:24" ht="18.75" hidden="1" x14ac:dyDescent="0.3">
      <c r="B23" s="138"/>
      <c r="C23" s="136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37"/>
      <c r="X23" s="169"/>
    </row>
    <row r="24" spans="2:24" ht="18.75" x14ac:dyDescent="0.3">
      <c r="B24" s="138" t="s">
        <v>31</v>
      </c>
      <c r="C24" s="31" t="s">
        <v>83</v>
      </c>
      <c r="E24" s="103"/>
      <c r="F24" s="103"/>
      <c r="G24" s="103"/>
      <c r="H24" s="103"/>
      <c r="I24" s="103"/>
      <c r="J24" s="103"/>
      <c r="K24" s="142"/>
      <c r="L24" s="142"/>
      <c r="M24" s="103"/>
      <c r="N24" s="103"/>
      <c r="O24" s="103"/>
      <c r="P24" s="103"/>
      <c r="Q24" s="103"/>
      <c r="R24" s="137"/>
      <c r="X24" s="169"/>
    </row>
    <row r="25" spans="2:24" ht="21" x14ac:dyDescent="0.35">
      <c r="B25" s="102" t="s">
        <v>63</v>
      </c>
      <c r="C25" s="125" t="s">
        <v>110</v>
      </c>
      <c r="D25" s="158" t="s">
        <v>132</v>
      </c>
      <c r="E25" s="103">
        <v>7000.8</v>
      </c>
      <c r="F25" s="126">
        <v>15</v>
      </c>
      <c r="G25" s="103"/>
      <c r="H25" s="103"/>
      <c r="I25" s="103"/>
      <c r="J25" s="103"/>
      <c r="K25" s="103">
        <f>E25-I25</f>
        <v>7000.8</v>
      </c>
      <c r="L25" s="103">
        <v>0</v>
      </c>
      <c r="M25" s="103"/>
      <c r="N25" s="103">
        <v>857.15</v>
      </c>
      <c r="O25" s="103">
        <v>-0.04</v>
      </c>
      <c r="P25" s="253">
        <f>ROUND(E25*0.115,2)</f>
        <v>805.09</v>
      </c>
      <c r="Q25" s="103">
        <f t="shared" ref="Q25:Q26" si="15">SUM(N25:P25)+G25</f>
        <v>1662.2</v>
      </c>
      <c r="R25" s="208">
        <f>K25-Q25</f>
        <v>5338.6</v>
      </c>
      <c r="S25" s="170">
        <v>419.125</v>
      </c>
      <c r="T25" s="128">
        <f t="shared" ref="T25:T28" si="16">ROUND(+E25*17.5%,2)+ROUND(E25*3%,2)</f>
        <v>1435.16</v>
      </c>
      <c r="U25" s="244">
        <f t="shared" ref="U25:U28" si="17">ROUND(+E25*2%,2)</f>
        <v>140.02000000000001</v>
      </c>
      <c r="V25" s="129">
        <f t="shared" ref="V25:V26" si="18">SUM(S25:U25)</f>
        <v>1994.3050000000001</v>
      </c>
      <c r="X25" s="169"/>
    </row>
    <row r="26" spans="2:24" ht="21" x14ac:dyDescent="0.35">
      <c r="B26" s="102" t="s">
        <v>112</v>
      </c>
      <c r="C26" s="125" t="s">
        <v>113</v>
      </c>
      <c r="D26" s="158" t="s">
        <v>133</v>
      </c>
      <c r="E26" s="103">
        <v>7000.8</v>
      </c>
      <c r="F26" s="126">
        <v>15</v>
      </c>
      <c r="G26" s="103"/>
      <c r="H26" s="103"/>
      <c r="I26" s="139"/>
      <c r="J26" s="103"/>
      <c r="K26" s="103">
        <f>E26-I26</f>
        <v>7000.8</v>
      </c>
      <c r="L26" s="103">
        <v>0</v>
      </c>
      <c r="M26" s="103"/>
      <c r="N26" s="103">
        <v>857.15</v>
      </c>
      <c r="O26" s="103">
        <v>-0.04</v>
      </c>
      <c r="P26" s="237">
        <f>ROUND(E26*0.115,2)</f>
        <v>805.09</v>
      </c>
      <c r="Q26" s="103">
        <f t="shared" si="15"/>
        <v>1662.2</v>
      </c>
      <c r="R26" s="208">
        <f>K26-Q26</f>
        <v>5338.6</v>
      </c>
      <c r="S26" s="170">
        <v>419.125</v>
      </c>
      <c r="T26" s="128">
        <f t="shared" si="16"/>
        <v>1435.16</v>
      </c>
      <c r="U26" s="244">
        <f t="shared" si="17"/>
        <v>140.02000000000001</v>
      </c>
      <c r="V26" s="129">
        <f t="shared" si="18"/>
        <v>1994.3050000000001</v>
      </c>
      <c r="X26" s="169"/>
    </row>
    <row r="27" spans="2:24" ht="21" x14ac:dyDescent="0.35">
      <c r="B27" s="102" t="s">
        <v>64</v>
      </c>
      <c r="C27" s="125" t="s">
        <v>45</v>
      </c>
      <c r="D27" s="102" t="s">
        <v>122</v>
      </c>
      <c r="E27" s="103">
        <v>7000.8</v>
      </c>
      <c r="F27" s="126">
        <v>15</v>
      </c>
      <c r="G27" s="141"/>
      <c r="H27" s="103"/>
      <c r="I27" s="143"/>
      <c r="J27" s="103"/>
      <c r="K27" s="103">
        <f>E27-I27</f>
        <v>7000.8</v>
      </c>
      <c r="L27" s="103">
        <v>0</v>
      </c>
      <c r="M27" s="103"/>
      <c r="N27" s="103">
        <v>857.15</v>
      </c>
      <c r="O27" s="103">
        <v>0.16</v>
      </c>
      <c r="P27" s="253">
        <f>ROUND(E27*0.115,2)</f>
        <v>805.09</v>
      </c>
      <c r="Q27" s="103">
        <f>SUM(N27:P27)+G27</f>
        <v>1662.4</v>
      </c>
      <c r="R27" s="208">
        <f>K27-Q27</f>
        <v>5338.4</v>
      </c>
      <c r="S27" s="170">
        <v>419.125</v>
      </c>
      <c r="T27" s="128">
        <f t="shared" si="16"/>
        <v>1435.16</v>
      </c>
      <c r="U27" s="244">
        <f t="shared" si="17"/>
        <v>140.02000000000001</v>
      </c>
      <c r="V27" s="129">
        <f>SUM(S27:U27)</f>
        <v>1994.3050000000001</v>
      </c>
      <c r="X27" s="169"/>
    </row>
    <row r="28" spans="2:24" ht="21" x14ac:dyDescent="0.35">
      <c r="B28" s="102" t="s">
        <v>65</v>
      </c>
      <c r="C28" s="125" t="s">
        <v>59</v>
      </c>
      <c r="D28" s="158" t="s">
        <v>134</v>
      </c>
      <c r="E28" s="103">
        <v>7000.8</v>
      </c>
      <c r="F28" s="126">
        <v>15</v>
      </c>
      <c r="G28" s="141"/>
      <c r="H28" s="130"/>
      <c r="I28" s="130">
        <v>1.1100000000000001</v>
      </c>
      <c r="J28" s="103"/>
      <c r="K28" s="103">
        <f>E28-I28+H28</f>
        <v>6999.6900000000005</v>
      </c>
      <c r="L28" s="103">
        <v>0</v>
      </c>
      <c r="M28" s="103"/>
      <c r="N28" s="103">
        <v>857.15</v>
      </c>
      <c r="O28" s="103">
        <v>-0.05</v>
      </c>
      <c r="P28" s="253">
        <f>ROUND(E28*0.115,2)</f>
        <v>805.09</v>
      </c>
      <c r="Q28" s="103">
        <f>SUM(N28:P28)+G28</f>
        <v>1662.19</v>
      </c>
      <c r="R28" s="208">
        <f>K28-Q28</f>
        <v>5337.5</v>
      </c>
      <c r="S28" s="170">
        <v>419.125</v>
      </c>
      <c r="T28" s="128">
        <f t="shared" si="16"/>
        <v>1435.16</v>
      </c>
      <c r="U28" s="244">
        <f t="shared" si="17"/>
        <v>140.02000000000001</v>
      </c>
      <c r="V28" s="129">
        <f>SUM(S28:U28)</f>
        <v>1994.3050000000001</v>
      </c>
      <c r="X28" s="169"/>
    </row>
    <row r="29" spans="2:24" ht="18.75" x14ac:dyDescent="0.3">
      <c r="B29" s="138" t="s">
        <v>20</v>
      </c>
      <c r="C29" s="132"/>
      <c r="D29" s="133"/>
      <c r="E29" s="135">
        <f>SUM(E25:E28)</f>
        <v>28003.200000000001</v>
      </c>
      <c r="F29" s="135"/>
      <c r="G29" s="135">
        <f>+G28+G27+G25+G26</f>
        <v>0</v>
      </c>
      <c r="H29" s="135"/>
      <c r="I29" s="135">
        <f>SUM(I25:I28)</f>
        <v>1.1100000000000001</v>
      </c>
      <c r="J29" s="135">
        <f t="shared" ref="J29" si="19">SUM(J25:J28)</f>
        <v>0</v>
      </c>
      <c r="K29" s="135">
        <f>SUM(K25:K28)</f>
        <v>28002.090000000004</v>
      </c>
      <c r="L29" s="135">
        <f t="shared" ref="L29:V29" si="20">SUM(L25:L28)</f>
        <v>0</v>
      </c>
      <c r="M29" s="135">
        <f t="shared" si="20"/>
        <v>0</v>
      </c>
      <c r="N29" s="135">
        <f t="shared" si="20"/>
        <v>3428.6</v>
      </c>
      <c r="O29" s="135">
        <f t="shared" si="20"/>
        <v>0.03</v>
      </c>
      <c r="P29" s="135">
        <f>SUM(P25:P28)</f>
        <v>3220.36</v>
      </c>
      <c r="Q29" s="135">
        <f t="shared" si="20"/>
        <v>6648.99</v>
      </c>
      <c r="R29" s="135">
        <f>SUM(R25:R28)</f>
        <v>21353.1</v>
      </c>
      <c r="S29" s="135">
        <f t="shared" si="20"/>
        <v>1676.5</v>
      </c>
      <c r="T29" s="135">
        <f t="shared" si="20"/>
        <v>5740.64</v>
      </c>
      <c r="U29" s="135">
        <f t="shared" si="20"/>
        <v>560.08000000000004</v>
      </c>
      <c r="V29" s="135">
        <f t="shared" si="20"/>
        <v>7977.22</v>
      </c>
      <c r="X29" s="169"/>
    </row>
    <row r="30" spans="2:24" ht="18.75" hidden="1" x14ac:dyDescent="0.3">
      <c r="C30" s="136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37"/>
      <c r="X30" s="169"/>
    </row>
    <row r="31" spans="2:24" ht="18.75" x14ac:dyDescent="0.3">
      <c r="B31" s="138" t="s">
        <v>33</v>
      </c>
      <c r="C31" s="31" t="s">
        <v>32</v>
      </c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37"/>
      <c r="X31" s="169"/>
    </row>
    <row r="32" spans="2:24" ht="21" hidden="1" x14ac:dyDescent="0.35">
      <c r="B32" s="102" t="s">
        <v>66</v>
      </c>
      <c r="C32" s="125"/>
      <c r="D32" s="158" t="s">
        <v>128</v>
      </c>
      <c r="E32" s="103"/>
      <c r="F32" s="126"/>
      <c r="G32" s="103"/>
      <c r="H32" s="103"/>
      <c r="I32" s="144"/>
      <c r="J32" s="103"/>
      <c r="K32" s="103"/>
      <c r="L32" s="103"/>
      <c r="M32" s="103"/>
      <c r="N32" s="103"/>
      <c r="O32" s="103"/>
      <c r="P32" s="237"/>
      <c r="Q32" s="103"/>
      <c r="R32" s="190"/>
      <c r="S32" s="170"/>
      <c r="T32" s="128"/>
      <c r="U32" s="244"/>
      <c r="V32" s="129"/>
      <c r="X32" s="169"/>
    </row>
    <row r="33" spans="2:24" ht="21" x14ac:dyDescent="0.35">
      <c r="B33" s="102" t="s">
        <v>67</v>
      </c>
      <c r="C33" s="125" t="s">
        <v>51</v>
      </c>
      <c r="D33" s="158" t="s">
        <v>135</v>
      </c>
      <c r="E33" s="103">
        <v>7000.8</v>
      </c>
      <c r="F33" s="126">
        <v>15</v>
      </c>
      <c r="G33" s="127">
        <v>1556</v>
      </c>
      <c r="H33" s="103"/>
      <c r="I33" s="130"/>
      <c r="J33" s="141"/>
      <c r="K33" s="141">
        <f t="shared" ref="K33:K48" si="21">E33-I33</f>
        <v>7000.8</v>
      </c>
      <c r="L33" s="141">
        <v>0</v>
      </c>
      <c r="M33" s="103"/>
      <c r="N33" s="103">
        <v>857.15</v>
      </c>
      <c r="O33" s="103">
        <v>0.16</v>
      </c>
      <c r="P33" s="237">
        <f t="shared" ref="P33:P40" si="22">ROUND(E33*0.115,2)</f>
        <v>805.09</v>
      </c>
      <c r="Q33" s="103">
        <f>SUM(N33:P33)+G33</f>
        <v>3218.4</v>
      </c>
      <c r="R33" s="208">
        <f t="shared" ref="R33:R48" si="23">K33-Q33</f>
        <v>3782.4</v>
      </c>
      <c r="S33" s="170">
        <v>419.125</v>
      </c>
      <c r="T33" s="128">
        <f t="shared" ref="T33:T40" si="24">ROUND(+E33*17.5%,2)+ROUND(E33*3%,2)</f>
        <v>1435.16</v>
      </c>
      <c r="U33" s="244">
        <f t="shared" ref="U33:U40" si="25">ROUND(+E33*2%,2)</f>
        <v>140.02000000000001</v>
      </c>
      <c r="V33" s="129">
        <f>SUM(S33:U33)</f>
        <v>1994.3050000000001</v>
      </c>
      <c r="X33" s="169"/>
    </row>
    <row r="34" spans="2:24" ht="21" x14ac:dyDescent="0.35">
      <c r="B34" s="102" t="s">
        <v>68</v>
      </c>
      <c r="C34" s="30" t="s">
        <v>194</v>
      </c>
      <c r="D34" s="102" t="s">
        <v>123</v>
      </c>
      <c r="E34" s="103">
        <v>7443.8</v>
      </c>
      <c r="F34" s="126">
        <v>15</v>
      </c>
      <c r="G34" s="103"/>
      <c r="H34" s="103"/>
      <c r="I34" s="130">
        <v>933.44</v>
      </c>
      <c r="J34" s="103"/>
      <c r="K34" s="103">
        <f t="shared" si="21"/>
        <v>6510.3600000000006</v>
      </c>
      <c r="L34" s="103">
        <v>0</v>
      </c>
      <c r="M34" s="103"/>
      <c r="N34" s="103">
        <v>951.78</v>
      </c>
      <c r="O34" s="103">
        <v>0.02</v>
      </c>
      <c r="P34" s="141"/>
      <c r="Q34" s="103">
        <f t="shared" ref="Q34:Q39" si="26">SUM(N34:P34)+G34</f>
        <v>951.8</v>
      </c>
      <c r="R34" s="208">
        <f t="shared" si="23"/>
        <v>5558.56</v>
      </c>
      <c r="S34" s="170">
        <v>432.30499999999995</v>
      </c>
      <c r="T34" s="128"/>
      <c r="U34" s="128"/>
      <c r="V34" s="129">
        <f t="shared" ref="V34:V42" si="27">SUM(S34:U34)</f>
        <v>432.30499999999995</v>
      </c>
      <c r="X34" s="169"/>
    </row>
    <row r="35" spans="2:24" ht="21" x14ac:dyDescent="0.35">
      <c r="B35" s="102" t="s">
        <v>77</v>
      </c>
      <c r="C35" s="125" t="s">
        <v>111</v>
      </c>
      <c r="D35" s="102" t="s">
        <v>127</v>
      </c>
      <c r="E35" s="103">
        <v>7000.8</v>
      </c>
      <c r="F35" s="126">
        <v>15</v>
      </c>
      <c r="G35" s="127">
        <v>1167</v>
      </c>
      <c r="H35" s="103"/>
      <c r="I35" s="144">
        <v>1.1100000000000001</v>
      </c>
      <c r="J35" s="103"/>
      <c r="K35" s="103">
        <f>E35-I35</f>
        <v>6999.6900000000005</v>
      </c>
      <c r="L35" s="103">
        <v>0</v>
      </c>
      <c r="M35" s="103"/>
      <c r="N35" s="103">
        <v>857.15</v>
      </c>
      <c r="O35" s="103">
        <v>-0.04</v>
      </c>
      <c r="P35" s="237">
        <f t="shared" si="22"/>
        <v>805.09</v>
      </c>
      <c r="Q35" s="103">
        <f>SUM(N35:P35)+G35</f>
        <v>2829.2</v>
      </c>
      <c r="R35" s="208">
        <f>K35-Q35</f>
        <v>4170.4900000000007</v>
      </c>
      <c r="S35" s="170">
        <v>419.125</v>
      </c>
      <c r="T35" s="128">
        <f t="shared" si="24"/>
        <v>1435.16</v>
      </c>
      <c r="U35" s="244">
        <f t="shared" si="25"/>
        <v>140.02000000000001</v>
      </c>
      <c r="V35" s="129">
        <f t="shared" si="27"/>
        <v>1994.3050000000001</v>
      </c>
      <c r="X35" s="169"/>
    </row>
    <row r="36" spans="2:24" ht="21" x14ac:dyDescent="0.35">
      <c r="B36" s="102" t="s">
        <v>70</v>
      </c>
      <c r="C36" s="125" t="s">
        <v>46</v>
      </c>
      <c r="D36" s="102" t="s">
        <v>124</v>
      </c>
      <c r="E36" s="103">
        <v>7000.8</v>
      </c>
      <c r="F36" s="126">
        <v>15</v>
      </c>
      <c r="G36" s="127">
        <v>1945</v>
      </c>
      <c r="H36" s="103"/>
      <c r="I36" s="139"/>
      <c r="J36" s="141"/>
      <c r="K36" s="141">
        <f t="shared" si="21"/>
        <v>7000.8</v>
      </c>
      <c r="L36" s="141">
        <v>0</v>
      </c>
      <c r="M36" s="103"/>
      <c r="N36" s="103">
        <v>857.15</v>
      </c>
      <c r="O36" s="103">
        <v>0.05</v>
      </c>
      <c r="P36" s="237">
        <f t="shared" si="22"/>
        <v>805.09</v>
      </c>
      <c r="Q36" s="103">
        <f t="shared" si="26"/>
        <v>3607.29</v>
      </c>
      <c r="R36" s="208">
        <f t="shared" si="23"/>
        <v>3393.51</v>
      </c>
      <c r="S36" s="170">
        <v>419.125</v>
      </c>
      <c r="T36" s="128">
        <f t="shared" si="24"/>
        <v>1435.16</v>
      </c>
      <c r="U36" s="244">
        <f t="shared" si="25"/>
        <v>140.02000000000001</v>
      </c>
      <c r="V36" s="129">
        <f t="shared" si="27"/>
        <v>1994.3050000000001</v>
      </c>
      <c r="X36" s="169"/>
    </row>
    <row r="37" spans="2:24" ht="21" x14ac:dyDescent="0.35">
      <c r="B37" s="102" t="s">
        <v>71</v>
      </c>
      <c r="C37" s="125" t="s">
        <v>50</v>
      </c>
      <c r="D37" s="102" t="s">
        <v>124</v>
      </c>
      <c r="E37" s="103">
        <v>7000.8</v>
      </c>
      <c r="F37" s="126">
        <v>15</v>
      </c>
      <c r="G37" s="127">
        <v>2917</v>
      </c>
      <c r="H37" s="141"/>
      <c r="I37" s="130"/>
      <c r="J37" s="141"/>
      <c r="K37" s="141">
        <f t="shared" si="21"/>
        <v>7000.8</v>
      </c>
      <c r="L37" s="141">
        <v>0</v>
      </c>
      <c r="M37" s="103"/>
      <c r="N37" s="103">
        <v>857.15</v>
      </c>
      <c r="O37" s="103">
        <v>-0.04</v>
      </c>
      <c r="P37" s="237">
        <f t="shared" si="22"/>
        <v>805.09</v>
      </c>
      <c r="Q37" s="103">
        <f t="shared" si="26"/>
        <v>4579.2</v>
      </c>
      <c r="R37" s="208">
        <f t="shared" si="23"/>
        <v>2421.6000000000004</v>
      </c>
      <c r="S37" s="170">
        <v>419.125</v>
      </c>
      <c r="T37" s="128">
        <f t="shared" si="24"/>
        <v>1435.16</v>
      </c>
      <c r="U37" s="244">
        <f t="shared" si="25"/>
        <v>140.02000000000001</v>
      </c>
      <c r="V37" s="129">
        <f t="shared" si="27"/>
        <v>1994.3050000000001</v>
      </c>
      <c r="X37" s="169"/>
    </row>
    <row r="38" spans="2:24" ht="21" x14ac:dyDescent="0.35">
      <c r="B38" s="102" t="s">
        <v>72</v>
      </c>
      <c r="C38" s="30" t="s">
        <v>195</v>
      </c>
      <c r="D38" s="102" t="s">
        <v>124</v>
      </c>
      <c r="E38" s="103">
        <v>7000.8</v>
      </c>
      <c r="F38" s="126">
        <v>15</v>
      </c>
      <c r="G38" s="103"/>
      <c r="H38" s="103"/>
      <c r="I38" s="139"/>
      <c r="J38" s="141"/>
      <c r="K38" s="141">
        <f t="shared" si="21"/>
        <v>7000.8</v>
      </c>
      <c r="L38" s="141">
        <v>0</v>
      </c>
      <c r="M38" s="103"/>
      <c r="N38" s="103">
        <v>857.15</v>
      </c>
      <c r="O38" s="103">
        <v>0.05</v>
      </c>
      <c r="P38" s="141"/>
      <c r="Q38" s="103">
        <f t="shared" si="26"/>
        <v>857.19999999999993</v>
      </c>
      <c r="R38" s="208">
        <f t="shared" si="23"/>
        <v>6143.6</v>
      </c>
      <c r="S38" s="170">
        <v>419.125</v>
      </c>
      <c r="T38" s="128"/>
      <c r="U38" s="128"/>
      <c r="V38" s="129">
        <f t="shared" si="27"/>
        <v>419.125</v>
      </c>
      <c r="X38" s="169"/>
    </row>
    <row r="39" spans="2:24" s="162" customFormat="1" ht="21" x14ac:dyDescent="0.35">
      <c r="B39" s="7" t="s">
        <v>73</v>
      </c>
      <c r="C39" s="30" t="s">
        <v>47</v>
      </c>
      <c r="D39" s="7" t="s">
        <v>125</v>
      </c>
      <c r="E39" s="103">
        <v>7000.8</v>
      </c>
      <c r="F39" s="126">
        <v>15</v>
      </c>
      <c r="G39" s="103"/>
      <c r="H39" s="103"/>
      <c r="I39" s="139"/>
      <c r="J39" s="141"/>
      <c r="K39" s="141">
        <f t="shared" si="21"/>
        <v>7000.8</v>
      </c>
      <c r="L39" s="141">
        <v>0</v>
      </c>
      <c r="M39" s="103"/>
      <c r="N39" s="103">
        <v>857.15</v>
      </c>
      <c r="O39" s="103">
        <v>-0.04</v>
      </c>
      <c r="P39" s="237">
        <f t="shared" si="22"/>
        <v>805.09</v>
      </c>
      <c r="Q39" s="103">
        <f t="shared" si="26"/>
        <v>1662.2</v>
      </c>
      <c r="R39" s="208">
        <f t="shared" si="23"/>
        <v>5338.6</v>
      </c>
      <c r="S39" s="170">
        <v>419.125</v>
      </c>
      <c r="T39" s="128">
        <f t="shared" si="24"/>
        <v>1435.16</v>
      </c>
      <c r="U39" s="244">
        <f t="shared" si="25"/>
        <v>140.02000000000001</v>
      </c>
      <c r="V39" s="129">
        <f t="shared" si="27"/>
        <v>1994.3050000000001</v>
      </c>
      <c r="X39" s="128"/>
    </row>
    <row r="40" spans="2:24" ht="21" x14ac:dyDescent="0.35">
      <c r="B40" s="102" t="s">
        <v>74</v>
      </c>
      <c r="C40" s="125" t="s">
        <v>53</v>
      </c>
      <c r="D40" s="102" t="s">
        <v>125</v>
      </c>
      <c r="E40" s="103">
        <v>7000.8</v>
      </c>
      <c r="F40" s="126">
        <v>15</v>
      </c>
      <c r="G40" s="141"/>
      <c r="H40" s="103"/>
      <c r="I40" s="139"/>
      <c r="J40" s="103"/>
      <c r="K40" s="103">
        <f t="shared" si="21"/>
        <v>7000.8</v>
      </c>
      <c r="L40" s="103">
        <v>0</v>
      </c>
      <c r="M40" s="103"/>
      <c r="N40" s="103">
        <v>857.15</v>
      </c>
      <c r="O40" s="103">
        <v>-0.04</v>
      </c>
      <c r="P40" s="237">
        <f t="shared" si="22"/>
        <v>805.09</v>
      </c>
      <c r="Q40" s="103">
        <f>SUM(N40:P40)+G40</f>
        <v>1662.2</v>
      </c>
      <c r="R40" s="208">
        <f t="shared" si="23"/>
        <v>5338.6</v>
      </c>
      <c r="S40" s="170">
        <v>419.125</v>
      </c>
      <c r="T40" s="128">
        <f t="shared" si="24"/>
        <v>1435.16</v>
      </c>
      <c r="U40" s="244">
        <f t="shared" si="25"/>
        <v>140.02000000000001</v>
      </c>
      <c r="V40" s="129">
        <f t="shared" si="27"/>
        <v>1994.3050000000001</v>
      </c>
      <c r="X40" s="169"/>
    </row>
    <row r="41" spans="2:24" ht="21" x14ac:dyDescent="0.35">
      <c r="B41" s="102" t="s">
        <v>75</v>
      </c>
      <c r="C41" s="30" t="s">
        <v>203</v>
      </c>
      <c r="D41" s="102" t="s">
        <v>126</v>
      </c>
      <c r="E41" s="103">
        <v>7000.8</v>
      </c>
      <c r="F41" s="126">
        <v>15</v>
      </c>
      <c r="G41" s="141"/>
      <c r="H41" s="103"/>
      <c r="I41" s="144"/>
      <c r="J41" s="103"/>
      <c r="K41" s="103">
        <f t="shared" si="21"/>
        <v>7000.8</v>
      </c>
      <c r="L41" s="103">
        <v>0</v>
      </c>
      <c r="M41" s="103"/>
      <c r="N41" s="103">
        <v>857.15</v>
      </c>
      <c r="O41" s="103">
        <v>0.05</v>
      </c>
      <c r="P41" s="141"/>
      <c r="Q41" s="103">
        <f>SUM(N41:P41)+G41</f>
        <v>857.19999999999993</v>
      </c>
      <c r="R41" s="208">
        <f t="shared" si="23"/>
        <v>6143.6</v>
      </c>
      <c r="S41" s="170">
        <v>419.125</v>
      </c>
      <c r="T41" s="128"/>
      <c r="U41" s="128"/>
      <c r="V41" s="129">
        <f t="shared" si="27"/>
        <v>419.125</v>
      </c>
      <c r="X41" s="169"/>
    </row>
    <row r="42" spans="2:24" ht="21" x14ac:dyDescent="0.35">
      <c r="B42" s="102" t="s">
        <v>76</v>
      </c>
      <c r="C42" s="30" t="s">
        <v>205</v>
      </c>
      <c r="D42" s="102" t="s">
        <v>126</v>
      </c>
      <c r="E42" s="103">
        <v>7000.8</v>
      </c>
      <c r="F42" s="126">
        <v>15</v>
      </c>
      <c r="G42" s="141"/>
      <c r="H42" s="103"/>
      <c r="I42" s="144">
        <v>2.2200000000000002</v>
      </c>
      <c r="J42" s="103"/>
      <c r="K42" s="103">
        <f t="shared" si="21"/>
        <v>6998.58</v>
      </c>
      <c r="L42" s="103">
        <v>0</v>
      </c>
      <c r="M42" s="103"/>
      <c r="N42" s="103">
        <v>857.15</v>
      </c>
      <c r="O42" s="103">
        <v>0.02</v>
      </c>
      <c r="P42" s="141"/>
      <c r="Q42" s="103">
        <f>SUM(N42:P42)+G42</f>
        <v>857.17</v>
      </c>
      <c r="R42" s="208">
        <f t="shared" si="23"/>
        <v>6141.41</v>
      </c>
      <c r="S42" s="170">
        <v>419.125</v>
      </c>
      <c r="T42" s="128"/>
      <c r="U42" s="128"/>
      <c r="V42" s="129">
        <f t="shared" si="27"/>
        <v>419.125</v>
      </c>
      <c r="X42" s="169"/>
    </row>
    <row r="43" spans="2:24" ht="21" x14ac:dyDescent="0.35">
      <c r="B43" s="158" t="s">
        <v>150</v>
      </c>
      <c r="C43" s="30" t="s">
        <v>171</v>
      </c>
      <c r="D43" s="158" t="s">
        <v>109</v>
      </c>
      <c r="E43" s="103">
        <v>7000.8</v>
      </c>
      <c r="F43" s="126">
        <v>15</v>
      </c>
      <c r="G43" s="141"/>
      <c r="H43" s="103"/>
      <c r="I43" s="144"/>
      <c r="J43" s="103"/>
      <c r="K43" s="103">
        <f t="shared" si="21"/>
        <v>7000.8</v>
      </c>
      <c r="L43" s="103">
        <v>0</v>
      </c>
      <c r="M43" s="103"/>
      <c r="N43" s="103">
        <v>857.15</v>
      </c>
      <c r="O43" s="103">
        <v>-0.15</v>
      </c>
      <c r="P43" s="141"/>
      <c r="Q43" s="103">
        <f t="shared" ref="Q43:Q46" si="28">SUM(N43:P43)+G43</f>
        <v>857</v>
      </c>
      <c r="R43" s="208">
        <f t="shared" si="23"/>
        <v>6143.8</v>
      </c>
      <c r="S43" s="170">
        <v>419.125</v>
      </c>
      <c r="T43" s="128"/>
      <c r="U43" s="128"/>
      <c r="V43" s="129">
        <f t="shared" ref="V43:V46" si="29">SUM(S43:U43)</f>
        <v>419.125</v>
      </c>
      <c r="X43" s="169"/>
    </row>
    <row r="44" spans="2:24" ht="21" x14ac:dyDescent="0.35">
      <c r="B44" s="158" t="s">
        <v>151</v>
      </c>
      <c r="C44" s="30" t="s">
        <v>172</v>
      </c>
      <c r="D44" s="158" t="s">
        <v>109</v>
      </c>
      <c r="E44" s="103">
        <v>7000.8</v>
      </c>
      <c r="F44" s="126">
        <v>15</v>
      </c>
      <c r="G44" s="141"/>
      <c r="H44" s="103"/>
      <c r="I44" s="144">
        <v>3.33</v>
      </c>
      <c r="J44" s="103"/>
      <c r="K44" s="103">
        <f t="shared" si="21"/>
        <v>6997.47</v>
      </c>
      <c r="L44" s="103">
        <v>0</v>
      </c>
      <c r="M44" s="103"/>
      <c r="N44" s="103">
        <v>857.15</v>
      </c>
      <c r="O44" s="103">
        <v>-7.0000000000000007E-2</v>
      </c>
      <c r="P44" s="237">
        <v>805.12</v>
      </c>
      <c r="Q44" s="103">
        <f>SUM(N44:P44)+G44</f>
        <v>1662.1999999999998</v>
      </c>
      <c r="R44" s="208">
        <f t="shared" si="23"/>
        <v>5335.27</v>
      </c>
      <c r="S44" s="170">
        <v>419.125</v>
      </c>
      <c r="T44" s="128">
        <v>1435.21</v>
      </c>
      <c r="U44" s="244">
        <f t="shared" ref="U44:U46" si="30">ROUND(+E44*2%,2)</f>
        <v>140.02000000000001</v>
      </c>
      <c r="V44" s="129">
        <f t="shared" ref="V44:V45" si="31">SUM(S44:U44)</f>
        <v>1994.355</v>
      </c>
      <c r="X44" s="169"/>
    </row>
    <row r="45" spans="2:24" ht="21" x14ac:dyDescent="0.35">
      <c r="B45" s="158" t="s">
        <v>152</v>
      </c>
      <c r="C45" s="30" t="s">
        <v>173</v>
      </c>
      <c r="D45" s="158" t="s">
        <v>109</v>
      </c>
      <c r="E45" s="103">
        <v>7000.8</v>
      </c>
      <c r="F45" s="126">
        <v>15</v>
      </c>
      <c r="G45" s="141"/>
      <c r="H45" s="103"/>
      <c r="I45" s="144"/>
      <c r="J45" s="103"/>
      <c r="K45" s="103">
        <f t="shared" si="21"/>
        <v>7000.8</v>
      </c>
      <c r="L45" s="103">
        <v>0</v>
      </c>
      <c r="M45" s="103"/>
      <c r="N45" s="103">
        <v>857.15</v>
      </c>
      <c r="O45" s="103">
        <v>-7.0000000000000007E-2</v>
      </c>
      <c r="P45" s="237">
        <v>805.12</v>
      </c>
      <c r="Q45" s="103">
        <f>SUM(N45:P45)+G45</f>
        <v>1662.1999999999998</v>
      </c>
      <c r="R45" s="208">
        <f t="shared" si="23"/>
        <v>5338.6</v>
      </c>
      <c r="S45" s="170">
        <v>419.125</v>
      </c>
      <c r="T45" s="128">
        <v>1435.21</v>
      </c>
      <c r="U45" s="244">
        <f t="shared" si="30"/>
        <v>140.02000000000001</v>
      </c>
      <c r="V45" s="129">
        <f t="shared" si="31"/>
        <v>1994.355</v>
      </c>
      <c r="X45" s="169"/>
    </row>
    <row r="46" spans="2:24" ht="21" x14ac:dyDescent="0.35">
      <c r="B46" s="158" t="s">
        <v>198</v>
      </c>
      <c r="C46" s="30" t="s">
        <v>48</v>
      </c>
      <c r="D46" s="158" t="s">
        <v>109</v>
      </c>
      <c r="E46" s="103">
        <v>7000.8</v>
      </c>
      <c r="F46" s="126">
        <v>15</v>
      </c>
      <c r="G46" s="141"/>
      <c r="H46" s="103"/>
      <c r="I46" s="144"/>
      <c r="J46" s="103"/>
      <c r="K46" s="103">
        <f t="shared" si="21"/>
        <v>7000.8</v>
      </c>
      <c r="L46" s="103">
        <v>0</v>
      </c>
      <c r="M46" s="103"/>
      <c r="N46" s="103">
        <v>857.15</v>
      </c>
      <c r="O46" s="103">
        <v>-0.04</v>
      </c>
      <c r="P46" s="237">
        <f t="shared" ref="P46" si="32">ROUND(E46*0.115,2)</f>
        <v>805.09</v>
      </c>
      <c r="Q46" s="103">
        <f t="shared" si="28"/>
        <v>1662.2</v>
      </c>
      <c r="R46" s="256">
        <f t="shared" si="23"/>
        <v>5338.6</v>
      </c>
      <c r="S46" s="170">
        <v>419.125</v>
      </c>
      <c r="T46" s="128">
        <f t="shared" ref="T46" si="33">ROUND(+E46*17.5%,2)+ROUND(E46*3%,2)</f>
        <v>1435.16</v>
      </c>
      <c r="U46" s="244">
        <f t="shared" si="30"/>
        <v>140.02000000000001</v>
      </c>
      <c r="V46" s="129">
        <f t="shared" si="29"/>
        <v>1994.3050000000001</v>
      </c>
      <c r="X46" s="169"/>
    </row>
    <row r="47" spans="2:24" ht="21" x14ac:dyDescent="0.35">
      <c r="B47" s="158" t="s">
        <v>208</v>
      </c>
      <c r="C47" s="30" t="s">
        <v>211</v>
      </c>
      <c r="D47" s="158" t="s">
        <v>109</v>
      </c>
      <c r="E47" s="103">
        <v>7000.8</v>
      </c>
      <c r="F47" s="126">
        <v>15</v>
      </c>
      <c r="G47" s="103"/>
      <c r="H47" s="103"/>
      <c r="I47" s="139">
        <v>14.43</v>
      </c>
      <c r="J47" s="141"/>
      <c r="K47" s="141">
        <f t="shared" si="21"/>
        <v>6986.37</v>
      </c>
      <c r="L47" s="141">
        <v>0</v>
      </c>
      <c r="M47" s="103"/>
      <c r="N47" s="103">
        <v>857.15</v>
      </c>
      <c r="O47" s="103">
        <v>0.12</v>
      </c>
      <c r="P47" s="141"/>
      <c r="Q47" s="103">
        <f t="shared" ref="Q47" si="34">SUM(N47:P47)+G47</f>
        <v>857.27</v>
      </c>
      <c r="R47" s="208">
        <f t="shared" si="23"/>
        <v>6129.1</v>
      </c>
      <c r="S47" s="170">
        <v>419.125</v>
      </c>
      <c r="T47" s="128"/>
      <c r="U47" s="128"/>
      <c r="V47" s="129">
        <f t="shared" ref="V47" si="35">SUM(S47:U47)</f>
        <v>419.125</v>
      </c>
      <c r="X47" s="169"/>
    </row>
    <row r="48" spans="2:24" ht="21" x14ac:dyDescent="0.35">
      <c r="B48" s="158" t="s">
        <v>209</v>
      </c>
      <c r="C48" s="30" t="s">
        <v>212</v>
      </c>
      <c r="D48" s="158" t="s">
        <v>210</v>
      </c>
      <c r="E48" s="103">
        <v>4358.17</v>
      </c>
      <c r="F48" s="126">
        <v>15</v>
      </c>
      <c r="G48" s="141"/>
      <c r="H48" s="103"/>
      <c r="I48" s="32"/>
      <c r="J48" s="103"/>
      <c r="K48" s="103">
        <f t="shared" si="21"/>
        <v>4358.17</v>
      </c>
      <c r="L48" s="103"/>
      <c r="M48" s="103"/>
      <c r="N48" s="103">
        <v>357.97</v>
      </c>
      <c r="O48" s="103">
        <v>0</v>
      </c>
      <c r="P48" s="141"/>
      <c r="Q48" s="103">
        <f t="shared" ref="Q48" si="36">SUM(N48:P48)+G48</f>
        <v>357.97</v>
      </c>
      <c r="R48" s="248">
        <f t="shared" si="23"/>
        <v>4000.2</v>
      </c>
      <c r="S48" s="29">
        <v>326.7</v>
      </c>
      <c r="T48" s="128"/>
      <c r="U48" s="244"/>
      <c r="V48" s="129">
        <f t="shared" ref="V48" si="37">SUM(S48:U48)</f>
        <v>326.7</v>
      </c>
      <c r="X48" s="169"/>
    </row>
    <row r="49" spans="1:24" ht="18.75" x14ac:dyDescent="0.3">
      <c r="B49" s="138" t="s">
        <v>20</v>
      </c>
      <c r="C49" s="132"/>
      <c r="D49" s="133"/>
      <c r="E49" s="135">
        <f>SUM(E32:E48)</f>
        <v>109813.17000000003</v>
      </c>
      <c r="F49" s="135">
        <f t="shared" ref="F49:J49" si="38">SUM(F32:F46)</f>
        <v>210</v>
      </c>
      <c r="G49" s="135">
        <f>SUM(G32:G48)</f>
        <v>7585</v>
      </c>
      <c r="H49" s="135">
        <f t="shared" si="38"/>
        <v>0</v>
      </c>
      <c r="I49" s="135">
        <f>SUM(I32:J48)</f>
        <v>954.53000000000009</v>
      </c>
      <c r="J49" s="135">
        <f t="shared" si="38"/>
        <v>0</v>
      </c>
      <c r="K49" s="135">
        <f>SUM(K32:K48)</f>
        <v>108858.64000000001</v>
      </c>
      <c r="L49" s="135">
        <f t="shared" ref="L49:V49" si="39">SUM(L32:L48)</f>
        <v>0</v>
      </c>
      <c r="M49" s="135">
        <f t="shared" si="39"/>
        <v>0</v>
      </c>
      <c r="N49" s="135">
        <f t="shared" si="39"/>
        <v>13309.849999999997</v>
      </c>
      <c r="O49" s="135">
        <f t="shared" si="39"/>
        <v>-2.0000000000000046E-2</v>
      </c>
      <c r="P49" s="135">
        <f>SUM(P32:P48)</f>
        <v>7245.87</v>
      </c>
      <c r="Q49" s="135">
        <f t="shared" si="39"/>
        <v>28140.700000000004</v>
      </c>
      <c r="R49" s="135">
        <f>SUM(R32:R48)</f>
        <v>80717.94</v>
      </c>
      <c r="S49" s="135">
        <f t="shared" si="39"/>
        <v>6626.7550000000001</v>
      </c>
      <c r="T49" s="135">
        <f t="shared" si="39"/>
        <v>12916.54</v>
      </c>
      <c r="U49" s="135">
        <f t="shared" si="39"/>
        <v>1260.18</v>
      </c>
      <c r="V49" s="135">
        <f t="shared" si="39"/>
        <v>20803.475000000002</v>
      </c>
      <c r="X49" s="169"/>
    </row>
    <row r="50" spans="1:24" ht="18.75" hidden="1" x14ac:dyDescent="0.3">
      <c r="C50" s="136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37"/>
      <c r="X50" s="169"/>
    </row>
    <row r="51" spans="1:24" ht="18.75" x14ac:dyDescent="0.3">
      <c r="B51" s="138" t="s">
        <v>78</v>
      </c>
      <c r="C51" s="31" t="s">
        <v>34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37"/>
      <c r="X51" s="169"/>
    </row>
    <row r="52" spans="1:24" ht="21" x14ac:dyDescent="0.35">
      <c r="B52" s="102" t="s">
        <v>69</v>
      </c>
      <c r="C52" s="125" t="s">
        <v>196</v>
      </c>
      <c r="D52" s="102" t="s">
        <v>130</v>
      </c>
      <c r="E52" s="103">
        <v>7443.8</v>
      </c>
      <c r="F52" s="126">
        <v>15</v>
      </c>
      <c r="G52" s="137"/>
      <c r="H52" s="103"/>
      <c r="I52" s="144">
        <v>466.72</v>
      </c>
      <c r="J52" s="141"/>
      <c r="K52" s="141">
        <f t="shared" ref="K52" si="40">E52-I52</f>
        <v>6977.08</v>
      </c>
      <c r="L52" s="141"/>
      <c r="M52" s="103"/>
      <c r="N52" s="103">
        <v>951.78</v>
      </c>
      <c r="O52" s="103">
        <v>0.02</v>
      </c>
      <c r="P52" s="141"/>
      <c r="Q52" s="103">
        <f t="shared" ref="Q52" si="41">SUM(N52:P52)+G52</f>
        <v>951.8</v>
      </c>
      <c r="R52" s="208">
        <f t="shared" ref="R52:R53" si="42">K52-Q52</f>
        <v>6025.28</v>
      </c>
      <c r="S52" s="170">
        <v>432.30499999999995</v>
      </c>
      <c r="T52" s="128"/>
      <c r="U52" s="128"/>
      <c r="V52" s="129">
        <f t="shared" ref="V52:V57" si="43">SUM(S52:U52)</f>
        <v>432.30499999999995</v>
      </c>
      <c r="X52" s="169"/>
    </row>
    <row r="53" spans="1:24" ht="21" x14ac:dyDescent="0.35">
      <c r="B53" s="102" t="s">
        <v>81</v>
      </c>
      <c r="C53" s="125" t="s">
        <v>168</v>
      </c>
      <c r="D53" s="102" t="s">
        <v>128</v>
      </c>
      <c r="E53" s="103">
        <v>7000.8</v>
      </c>
      <c r="F53" s="126">
        <v>15</v>
      </c>
      <c r="G53" s="141"/>
      <c r="H53" s="103"/>
      <c r="I53" s="144">
        <v>6.66</v>
      </c>
      <c r="J53" s="103"/>
      <c r="K53" s="103">
        <f>E53-I53</f>
        <v>6994.14</v>
      </c>
      <c r="L53" s="103"/>
      <c r="M53" s="103"/>
      <c r="N53" s="103">
        <v>857.15</v>
      </c>
      <c r="O53" s="103">
        <v>0.03</v>
      </c>
      <c r="P53" s="237">
        <v>805.12</v>
      </c>
      <c r="Q53" s="103">
        <f>SUM(N53:P53)+G53</f>
        <v>1662.3</v>
      </c>
      <c r="R53" s="208">
        <f t="shared" si="42"/>
        <v>5331.84</v>
      </c>
      <c r="S53" s="170">
        <v>419.125</v>
      </c>
      <c r="T53" s="128">
        <v>1435.21</v>
      </c>
      <c r="U53" s="244">
        <f t="shared" ref="U53:U54" si="44">ROUND(+E53*2%,2)</f>
        <v>140.02000000000001</v>
      </c>
      <c r="V53" s="129">
        <f t="shared" ref="V53" si="45">SUM(S53:U53)</f>
        <v>1994.355</v>
      </c>
      <c r="X53" s="169"/>
    </row>
    <row r="54" spans="1:24" ht="21" x14ac:dyDescent="0.35">
      <c r="B54" s="102" t="s">
        <v>107</v>
      </c>
      <c r="C54" s="125" t="s">
        <v>108</v>
      </c>
      <c r="D54" s="102" t="s">
        <v>109</v>
      </c>
      <c r="E54" s="103">
        <v>7000.8</v>
      </c>
      <c r="F54" s="126">
        <v>15</v>
      </c>
      <c r="G54" s="103"/>
      <c r="H54" s="103"/>
      <c r="I54" s="144">
        <v>19.98</v>
      </c>
      <c r="J54" s="103"/>
      <c r="K54" s="103">
        <f>E54-I54</f>
        <v>6980.8200000000006</v>
      </c>
      <c r="L54" s="103"/>
      <c r="M54" s="103"/>
      <c r="N54" s="103">
        <v>857.15</v>
      </c>
      <c r="O54" s="103">
        <v>0.01</v>
      </c>
      <c r="P54" s="253">
        <f>ROUND(E54*0.115,2)</f>
        <v>805.09</v>
      </c>
      <c r="Q54" s="103">
        <f>SUM(N54:P54)+G54</f>
        <v>1662.25</v>
      </c>
      <c r="R54" s="208">
        <f>K54-Q54</f>
        <v>5318.5700000000006</v>
      </c>
      <c r="S54" s="170">
        <v>419.125</v>
      </c>
      <c r="T54" s="128">
        <f t="shared" ref="T54" si="46">ROUND(+E54*17.5%,2)+ROUND(E54*3%,2)</f>
        <v>1435.16</v>
      </c>
      <c r="U54" s="244">
        <f t="shared" si="44"/>
        <v>140.02000000000001</v>
      </c>
      <c r="V54" s="129">
        <f t="shared" si="43"/>
        <v>1994.3050000000001</v>
      </c>
      <c r="X54" s="169"/>
    </row>
    <row r="55" spans="1:24" ht="31.5" x14ac:dyDescent="0.35">
      <c r="A55" s="102" t="s">
        <v>179</v>
      </c>
      <c r="B55" s="158" t="s">
        <v>156</v>
      </c>
      <c r="C55" s="30" t="s">
        <v>183</v>
      </c>
      <c r="D55" s="198" t="s">
        <v>160</v>
      </c>
      <c r="E55" s="103">
        <v>6791.5</v>
      </c>
      <c r="F55" s="126">
        <v>15</v>
      </c>
      <c r="G55" s="141"/>
      <c r="H55" s="103"/>
      <c r="I55" s="144"/>
      <c r="J55" s="103"/>
      <c r="K55" s="103">
        <f t="shared" ref="K55:K57" si="47">E55-I55</f>
        <v>6791.5</v>
      </c>
      <c r="L55" s="103"/>
      <c r="M55" s="103"/>
      <c r="N55" s="103">
        <v>812.45</v>
      </c>
      <c r="O55" s="103">
        <v>0.05</v>
      </c>
      <c r="P55" s="141"/>
      <c r="Q55" s="103">
        <f t="shared" ref="Q55" si="48">SUM(N55:P55)+G55</f>
        <v>812.5</v>
      </c>
      <c r="R55" s="208">
        <f t="shared" ref="R55:R56" si="49">K55-Q55</f>
        <v>5979</v>
      </c>
      <c r="S55" s="170">
        <v>412.89499999999998</v>
      </c>
      <c r="T55" s="128"/>
      <c r="U55" s="128"/>
      <c r="V55" s="129">
        <f t="shared" ref="V55" si="50">SUM(S55:U55)</f>
        <v>412.89499999999998</v>
      </c>
      <c r="X55" s="169"/>
    </row>
    <row r="56" spans="1:24" ht="31.5" x14ac:dyDescent="0.35">
      <c r="B56" s="158" t="s">
        <v>157</v>
      </c>
      <c r="C56" s="30" t="s">
        <v>197</v>
      </c>
      <c r="D56" s="198" t="s">
        <v>160</v>
      </c>
      <c r="E56" s="103">
        <v>6791.5</v>
      </c>
      <c r="F56" s="126">
        <v>13</v>
      </c>
      <c r="G56" s="141"/>
      <c r="H56" s="103"/>
      <c r="I56" s="144">
        <v>11.85</v>
      </c>
      <c r="J56" s="103"/>
      <c r="K56" s="103">
        <f t="shared" si="47"/>
        <v>6779.65</v>
      </c>
      <c r="L56" s="103"/>
      <c r="M56" s="103"/>
      <c r="N56" s="103">
        <v>812.45</v>
      </c>
      <c r="O56" s="103">
        <v>-0.05</v>
      </c>
      <c r="P56" s="141"/>
      <c r="Q56" s="103">
        <f t="shared" ref="Q56" si="51">SUM(N56:P56)+G56</f>
        <v>812.40000000000009</v>
      </c>
      <c r="R56" s="208">
        <f t="shared" si="49"/>
        <v>5967.25</v>
      </c>
      <c r="S56" s="170">
        <v>412.89499999999998</v>
      </c>
      <c r="T56" s="128"/>
      <c r="U56" s="128"/>
      <c r="V56" s="129">
        <f t="shared" si="43"/>
        <v>412.89499999999998</v>
      </c>
      <c r="X56" s="169"/>
    </row>
    <row r="57" spans="1:24" ht="31.5" x14ac:dyDescent="0.35">
      <c r="B57" s="158" t="s">
        <v>158</v>
      </c>
      <c r="C57" s="30" t="s">
        <v>169</v>
      </c>
      <c r="D57" s="198" t="s">
        <v>160</v>
      </c>
      <c r="E57" s="103">
        <v>6791.5</v>
      </c>
      <c r="F57" s="126">
        <v>15</v>
      </c>
      <c r="G57" s="103"/>
      <c r="H57" s="103"/>
      <c r="I57" s="144"/>
      <c r="J57" s="103"/>
      <c r="K57" s="103">
        <f t="shared" si="47"/>
        <v>6791.5</v>
      </c>
      <c r="L57" s="103"/>
      <c r="M57" s="103"/>
      <c r="N57" s="103">
        <v>812.45</v>
      </c>
      <c r="O57" s="103">
        <v>0.03</v>
      </c>
      <c r="P57" s="237">
        <f t="shared" ref="P57" si="52">ROUND(E57*0.115,2)</f>
        <v>781.02</v>
      </c>
      <c r="Q57" s="103">
        <f>SUM(N57:P57)+G57</f>
        <v>1593.5</v>
      </c>
      <c r="R57" s="208">
        <f>K57-Q57</f>
        <v>5198</v>
      </c>
      <c r="S57" s="170">
        <v>412.89499999999998</v>
      </c>
      <c r="T57" s="128">
        <f t="shared" ref="T57" si="53">ROUND(+E57*17.5%,2)+ROUND(E57*3%,2)</f>
        <v>1392.26</v>
      </c>
      <c r="U57" s="244">
        <f t="shared" ref="U57" si="54">ROUND(+E57*2%,2)</f>
        <v>135.83000000000001</v>
      </c>
      <c r="V57" s="129">
        <f t="shared" si="43"/>
        <v>1940.9849999999999</v>
      </c>
      <c r="X57" s="169"/>
    </row>
    <row r="58" spans="1:24" ht="18.75" x14ac:dyDescent="0.3">
      <c r="B58" s="138" t="s">
        <v>20</v>
      </c>
      <c r="C58" s="132"/>
      <c r="D58" s="133"/>
      <c r="E58" s="135">
        <f>SUM(E52:E57)</f>
        <v>41819.9</v>
      </c>
      <c r="F58" s="135"/>
      <c r="G58" s="135">
        <f t="shared" ref="G58:J58" si="55">SUM(G52:G57)</f>
        <v>0</v>
      </c>
      <c r="H58" s="135">
        <f t="shared" si="55"/>
        <v>0</v>
      </c>
      <c r="I58" s="135">
        <f>SUM(I52:I57)</f>
        <v>505.21000000000009</v>
      </c>
      <c r="J58" s="135">
        <f t="shared" si="55"/>
        <v>0</v>
      </c>
      <c r="K58" s="135">
        <f>SUM(K52:K57)</f>
        <v>41314.69</v>
      </c>
      <c r="L58" s="135">
        <f t="shared" ref="L58:V58" si="56">SUM(L52:L57)</f>
        <v>0</v>
      </c>
      <c r="M58" s="135">
        <f t="shared" si="56"/>
        <v>0</v>
      </c>
      <c r="N58" s="135">
        <f t="shared" si="56"/>
        <v>5103.4299999999994</v>
      </c>
      <c r="O58" s="135">
        <f t="shared" si="56"/>
        <v>9.0000000000000011E-2</v>
      </c>
      <c r="P58" s="135">
        <f t="shared" si="56"/>
        <v>2391.23</v>
      </c>
      <c r="Q58" s="135">
        <f t="shared" si="56"/>
        <v>7494.75</v>
      </c>
      <c r="R58" s="135">
        <f>SUM(R52:R57)</f>
        <v>33819.94</v>
      </c>
      <c r="S58" s="135">
        <f t="shared" si="56"/>
        <v>2509.2399999999998</v>
      </c>
      <c r="T58" s="135">
        <f t="shared" si="56"/>
        <v>4262.63</v>
      </c>
      <c r="U58" s="135">
        <f t="shared" si="56"/>
        <v>415.87</v>
      </c>
      <c r="V58" s="135">
        <f t="shared" si="56"/>
        <v>7187.7400000000007</v>
      </c>
      <c r="X58" s="169"/>
    </row>
    <row r="59" spans="1:24" ht="18.75" hidden="1" x14ac:dyDescent="0.3">
      <c r="B59" s="138"/>
      <c r="C59" s="136"/>
      <c r="E59" s="103"/>
      <c r="F59" s="103"/>
      <c r="G59" s="103"/>
      <c r="H59" s="103"/>
      <c r="I59" s="103"/>
      <c r="J59" s="103"/>
      <c r="K59" s="146"/>
      <c r="L59" s="146"/>
      <c r="M59" s="146"/>
      <c r="N59" s="146"/>
      <c r="O59" s="146"/>
      <c r="P59" s="146"/>
      <c r="Q59" s="146"/>
      <c r="R59" s="147"/>
      <c r="S59" s="148"/>
      <c r="T59" s="148"/>
      <c r="U59" s="148"/>
      <c r="V59" s="148"/>
      <c r="X59" s="169"/>
    </row>
    <row r="60" spans="1:24" ht="18.75" x14ac:dyDescent="0.3">
      <c r="B60" s="138" t="s">
        <v>84</v>
      </c>
      <c r="C60" s="31" t="s">
        <v>85</v>
      </c>
      <c r="E60" s="103"/>
      <c r="F60" s="103"/>
      <c r="G60" s="103"/>
      <c r="H60" s="103"/>
      <c r="I60" s="103"/>
      <c r="J60" s="103"/>
      <c r="K60" s="146"/>
      <c r="L60" s="146"/>
      <c r="M60" s="146"/>
      <c r="N60" s="146"/>
      <c r="O60" s="146"/>
      <c r="P60" s="146"/>
      <c r="Q60" s="146"/>
      <c r="R60" s="147"/>
      <c r="S60" s="148"/>
      <c r="T60" s="148"/>
      <c r="U60" s="148"/>
      <c r="V60" s="148"/>
      <c r="X60" s="169"/>
    </row>
    <row r="61" spans="1:24" ht="21" x14ac:dyDescent="0.35">
      <c r="B61" s="102" t="s">
        <v>86</v>
      </c>
      <c r="C61" s="125" t="s">
        <v>200</v>
      </c>
      <c r="D61" s="102" t="s">
        <v>114</v>
      </c>
      <c r="E61" s="103">
        <v>13000</v>
      </c>
      <c r="F61" s="126">
        <v>15</v>
      </c>
      <c r="G61" s="127">
        <v>2784</v>
      </c>
      <c r="H61" s="103"/>
      <c r="I61" s="103"/>
      <c r="J61" s="103"/>
      <c r="K61" s="103">
        <f>E61-I61</f>
        <v>13000</v>
      </c>
      <c r="L61" s="103">
        <v>0</v>
      </c>
      <c r="M61" s="103"/>
      <c r="N61" s="103">
        <v>2161.23</v>
      </c>
      <c r="O61" s="103">
        <v>-0.03</v>
      </c>
      <c r="P61" s="237">
        <f t="shared" ref="P61" si="57">ROUND(E61*0.115,2)</f>
        <v>1495</v>
      </c>
      <c r="Q61" s="103">
        <f>SUM(N61:P61)+G61</f>
        <v>6440.2</v>
      </c>
      <c r="R61" s="208">
        <f>K61-Q61</f>
        <v>6559.8</v>
      </c>
      <c r="S61" s="29">
        <v>597.69499999999994</v>
      </c>
      <c r="T61" s="128">
        <f t="shared" ref="T61" si="58">ROUND(+E61*17.5%,2)+ROUND(E61*3%,2)</f>
        <v>2665</v>
      </c>
      <c r="U61" s="244">
        <f>ROUND(+E61*2%,2)</f>
        <v>260</v>
      </c>
      <c r="V61" s="129">
        <f t="shared" ref="V61" si="59">SUM(S61:U61)</f>
        <v>3522.6949999999997</v>
      </c>
      <c r="X61" s="169"/>
    </row>
    <row r="62" spans="1:24" ht="18.75" x14ac:dyDescent="0.3">
      <c r="B62" s="138" t="s">
        <v>20</v>
      </c>
      <c r="E62" s="135">
        <f>E61</f>
        <v>13000</v>
      </c>
      <c r="F62" s="135"/>
      <c r="G62" s="135">
        <f>+G61</f>
        <v>2784</v>
      </c>
      <c r="H62" s="135"/>
      <c r="I62" s="135">
        <f>I61</f>
        <v>0</v>
      </c>
      <c r="J62" s="135">
        <f>J61</f>
        <v>0</v>
      </c>
      <c r="K62" s="135">
        <f>K61</f>
        <v>13000</v>
      </c>
      <c r="L62" s="135">
        <f t="shared" ref="L62:V62" si="60">L61</f>
        <v>0</v>
      </c>
      <c r="M62" s="135">
        <f t="shared" si="60"/>
        <v>0</v>
      </c>
      <c r="N62" s="135">
        <f t="shared" si="60"/>
        <v>2161.23</v>
      </c>
      <c r="O62" s="135">
        <f t="shared" si="60"/>
        <v>-0.03</v>
      </c>
      <c r="P62" s="135">
        <f t="shared" si="60"/>
        <v>1495</v>
      </c>
      <c r="Q62" s="135">
        <f t="shared" si="60"/>
        <v>6440.2</v>
      </c>
      <c r="R62" s="135">
        <f>R61</f>
        <v>6559.8</v>
      </c>
      <c r="S62" s="135">
        <f t="shared" si="60"/>
        <v>597.69499999999994</v>
      </c>
      <c r="T62" s="135">
        <f t="shared" si="60"/>
        <v>2665</v>
      </c>
      <c r="U62" s="135">
        <f t="shared" si="60"/>
        <v>260</v>
      </c>
      <c r="V62" s="135">
        <f t="shared" si="60"/>
        <v>3522.6949999999997</v>
      </c>
      <c r="X62" s="169"/>
    </row>
    <row r="63" spans="1:24" ht="12" customHeight="1" x14ac:dyDescent="0.3">
      <c r="B63" s="138"/>
      <c r="E63" s="103"/>
      <c r="F63" s="103"/>
      <c r="G63" s="103"/>
      <c r="H63" s="103"/>
      <c r="I63" s="103"/>
      <c r="J63" s="103"/>
      <c r="K63" s="146"/>
      <c r="L63" s="146"/>
      <c r="M63" s="146"/>
      <c r="N63" s="146"/>
      <c r="O63" s="146"/>
      <c r="P63" s="146"/>
      <c r="Q63" s="146"/>
      <c r="R63" s="147"/>
      <c r="S63" s="148"/>
      <c r="T63" s="148"/>
      <c r="U63" s="148"/>
      <c r="V63" s="148"/>
    </row>
    <row r="64" spans="1:24" ht="18.75" hidden="1" x14ac:dyDescent="0.3">
      <c r="R64" s="149"/>
    </row>
    <row r="65" spans="3:24" ht="18.75" x14ac:dyDescent="0.3">
      <c r="C65" s="150" t="s">
        <v>56</v>
      </c>
      <c r="E65" s="151">
        <f>E9+E22+E29+E49+E58+E62</f>
        <v>272369.7</v>
      </c>
      <c r="F65" s="151"/>
      <c r="G65" s="152">
        <f>G9+G22+G29+G49+G58+G62</f>
        <v>17499.11</v>
      </c>
      <c r="H65" s="151"/>
      <c r="I65" s="151">
        <f t="shared" ref="I65:Q65" si="61">I9+I22+I29+I49+I58+I62</f>
        <v>1460.8500000000001</v>
      </c>
      <c r="J65" s="151">
        <f t="shared" si="61"/>
        <v>0</v>
      </c>
      <c r="K65" s="151">
        <f t="shared" si="61"/>
        <v>270908.84999999998</v>
      </c>
      <c r="L65" s="151">
        <f t="shared" si="61"/>
        <v>6386.9</v>
      </c>
      <c r="M65" s="151">
        <f t="shared" si="61"/>
        <v>6386.9000000000005</v>
      </c>
      <c r="N65" s="151">
        <f t="shared" si="61"/>
        <v>34572.57</v>
      </c>
      <c r="O65" s="151">
        <f t="shared" si="61"/>
        <v>0.30999999999999994</v>
      </c>
      <c r="P65" s="152">
        <f t="shared" si="61"/>
        <v>19717.93</v>
      </c>
      <c r="Q65" s="151">
        <f t="shared" si="61"/>
        <v>71789.919999999998</v>
      </c>
      <c r="R65" s="153">
        <f>ROUND(+R9+R22+R29+R49+R58+R62,1)</f>
        <v>199118.9</v>
      </c>
      <c r="S65" s="151">
        <f>S9+S22+S29+S49+S58+S62</f>
        <v>16281.615</v>
      </c>
      <c r="T65" s="151">
        <f>T62+T58+T49+T29+T22+T9</f>
        <v>36584.499824999999</v>
      </c>
      <c r="U65" s="152">
        <f>U9+U22+U29+U49+U58+U62</f>
        <v>3569.2799999999997</v>
      </c>
      <c r="V65" s="154">
        <f>V9+V22+V29+V49+V58+V62</f>
        <v>56435.394825000003</v>
      </c>
    </row>
    <row r="66" spans="3:24" ht="18.75" x14ac:dyDescent="0.3">
      <c r="S66" s="151"/>
      <c r="T66" s="151"/>
    </row>
    <row r="67" spans="3:24" x14ac:dyDescent="0.25">
      <c r="T67" s="103"/>
      <c r="X67" s="169"/>
    </row>
    <row r="69" spans="3:24" x14ac:dyDescent="0.25">
      <c r="I69" s="169"/>
    </row>
    <row r="74" spans="3:24" ht="16.5" thickBot="1" x14ac:dyDescent="0.3">
      <c r="E74" s="293"/>
      <c r="F74" s="293"/>
      <c r="G74" s="289"/>
      <c r="H74" s="289"/>
      <c r="P74" s="294"/>
      <c r="Q74" s="294"/>
    </row>
    <row r="75" spans="3:24" ht="15" x14ac:dyDescent="0.25">
      <c r="E75" s="304" t="s">
        <v>91</v>
      </c>
      <c r="F75" s="295"/>
      <c r="G75" s="290"/>
      <c r="H75" s="290"/>
      <c r="P75" s="155"/>
      <c r="Q75" s="155"/>
      <c r="R75" s="303" t="s">
        <v>202</v>
      </c>
      <c r="S75" s="296"/>
      <c r="T75" s="289"/>
    </row>
    <row r="79" spans="3:24" x14ac:dyDescent="0.25">
      <c r="C79" s="102" t="s">
        <v>90</v>
      </c>
    </row>
  </sheetData>
  <mergeCells count="5">
    <mergeCell ref="B4:V4"/>
    <mergeCell ref="E74:F74"/>
    <mergeCell ref="P74:Q74"/>
    <mergeCell ref="E75:F75"/>
    <mergeCell ref="R75:S75"/>
  </mergeCells>
  <pageMargins left="0.51181102362204722" right="0.51181102362204722" top="0.15748031496062992" bottom="0.35433070866141736" header="0.31496062992125984" footer="0.31496062992125984"/>
  <pageSetup scale="41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865-28A8-4621-A2A0-52EE7DBEF9E7}">
  <dimension ref="A3:X79"/>
  <sheetViews>
    <sheetView tabSelected="1" workbookViewId="0">
      <selection sqref="A1:XFD1048576"/>
    </sheetView>
  </sheetViews>
  <sheetFormatPr baseColWidth="10" defaultRowHeight="15.75" x14ac:dyDescent="0.25"/>
  <cols>
    <col min="1" max="1" width="4.28515625" style="308" customWidth="1"/>
    <col min="2" max="2" width="17.140625" style="308" customWidth="1"/>
    <col min="3" max="3" width="36.5703125" style="308" customWidth="1"/>
    <col min="4" max="4" width="28" style="308" customWidth="1"/>
    <col min="5" max="5" width="18.42578125" style="308" customWidth="1"/>
    <col min="6" max="6" width="12.7109375" style="308" customWidth="1"/>
    <col min="7" max="7" width="15.85546875" style="308" bestFit="1" customWidth="1"/>
    <col min="8" max="8" width="14.140625" style="308" hidden="1" customWidth="1"/>
    <col min="9" max="9" width="15.85546875" style="355" bestFit="1" customWidth="1"/>
    <col min="10" max="10" width="12.7109375" style="308" bestFit="1" customWidth="1"/>
    <col min="11" max="11" width="17.42578125" style="308" bestFit="1" customWidth="1"/>
    <col min="12" max="12" width="9.42578125" style="308" hidden="1" customWidth="1"/>
    <col min="13" max="13" width="14.42578125" style="308" hidden="1" customWidth="1"/>
    <col min="14" max="16" width="15.85546875" style="308" bestFit="1" customWidth="1"/>
    <col min="17" max="17" width="16.5703125" style="308" customWidth="1"/>
    <col min="18" max="18" width="16.7109375" style="341" customWidth="1"/>
    <col min="19" max="19" width="14.42578125" style="308" bestFit="1" customWidth="1"/>
    <col min="20" max="20" width="16" style="308" bestFit="1" customWidth="1"/>
    <col min="21" max="21" width="14.42578125" style="308" bestFit="1" customWidth="1"/>
    <col min="22" max="22" width="15.85546875" style="308" bestFit="1" customWidth="1"/>
    <col min="23" max="16384" width="11.42578125" style="308"/>
  </cols>
  <sheetData>
    <row r="3" spans="2:24" x14ac:dyDescent="0.25">
      <c r="E3" s="309"/>
      <c r="F3" s="309"/>
      <c r="G3" s="309"/>
      <c r="H3" s="309"/>
      <c r="I3" s="310"/>
      <c r="J3" s="309"/>
      <c r="K3" s="309"/>
      <c r="L3" s="309"/>
      <c r="M3" s="309"/>
      <c r="N3" s="309"/>
      <c r="O3" s="309"/>
      <c r="P3" s="309"/>
      <c r="Q3" s="309"/>
      <c r="R3" s="311"/>
    </row>
    <row r="4" spans="2:24" ht="16.5" customHeight="1" x14ac:dyDescent="0.25">
      <c r="B4" s="291" t="s">
        <v>229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</row>
    <row r="5" spans="2:24" s="324" customFormat="1" ht="56.25" x14ac:dyDescent="0.25">
      <c r="B5" s="312" t="s">
        <v>5</v>
      </c>
      <c r="C5" s="313" t="s">
        <v>6</v>
      </c>
      <c r="D5" s="314" t="s">
        <v>0</v>
      </c>
      <c r="E5" s="315" t="s">
        <v>7</v>
      </c>
      <c r="F5" s="316" t="s">
        <v>80</v>
      </c>
      <c r="G5" s="317" t="s">
        <v>93</v>
      </c>
      <c r="H5" s="4" t="s">
        <v>94</v>
      </c>
      <c r="I5" s="318" t="s">
        <v>230</v>
      </c>
      <c r="J5" s="314" t="s">
        <v>88</v>
      </c>
      <c r="K5" s="314" t="s">
        <v>8</v>
      </c>
      <c r="L5" s="319" t="s">
        <v>57</v>
      </c>
      <c r="M5" s="316" t="s">
        <v>79</v>
      </c>
      <c r="N5" s="316" t="s">
        <v>9</v>
      </c>
      <c r="O5" s="3" t="s">
        <v>141</v>
      </c>
      <c r="P5" s="320" t="s">
        <v>10</v>
      </c>
      <c r="Q5" s="321" t="s">
        <v>11</v>
      </c>
      <c r="R5" s="45" t="s">
        <v>35</v>
      </c>
      <c r="S5" s="319" t="s">
        <v>4</v>
      </c>
      <c r="T5" s="319" t="s">
        <v>106</v>
      </c>
      <c r="U5" s="322" t="s">
        <v>12</v>
      </c>
      <c r="V5" s="322" t="s">
        <v>36</v>
      </c>
      <c r="W5" s="323"/>
    </row>
    <row r="6" spans="2:24" x14ac:dyDescent="0.25">
      <c r="B6" s="325" t="s">
        <v>13</v>
      </c>
      <c r="C6" s="5" t="s">
        <v>14</v>
      </c>
      <c r="D6" s="5"/>
      <c r="E6" s="326"/>
      <c r="F6" s="309"/>
      <c r="G6" s="327"/>
      <c r="H6" s="309"/>
      <c r="I6" s="328"/>
      <c r="J6" s="326"/>
      <c r="K6" s="326"/>
      <c r="L6" s="309"/>
      <c r="M6" s="309"/>
      <c r="N6" s="309"/>
      <c r="O6" s="326"/>
      <c r="P6" s="309"/>
      <c r="Q6" s="326"/>
      <c r="R6" s="311"/>
    </row>
    <row r="7" spans="2:24" ht="21" x14ac:dyDescent="0.35">
      <c r="B7" s="308" t="s">
        <v>15</v>
      </c>
      <c r="C7" s="30" t="s">
        <v>16</v>
      </c>
      <c r="D7" s="308" t="s">
        <v>19</v>
      </c>
      <c r="E7" s="309">
        <v>19461.365000000002</v>
      </c>
      <c r="F7" s="329">
        <v>15</v>
      </c>
      <c r="G7" s="330"/>
      <c r="H7" s="309"/>
      <c r="I7" s="331">
        <v>1066.1600000000001</v>
      </c>
      <c r="J7" s="309"/>
      <c r="K7" s="309">
        <f>E7+I7</f>
        <v>20527.525000000001</v>
      </c>
      <c r="L7" s="309">
        <v>0</v>
      </c>
      <c r="M7" s="309"/>
      <c r="N7" s="309">
        <v>3721.35</v>
      </c>
      <c r="O7" s="309">
        <v>0.16</v>
      </c>
      <c r="P7" s="332">
        <f>ROUND(E7*0.115,2)</f>
        <v>2238.06</v>
      </c>
      <c r="Q7" s="309">
        <f>SUM(N7:P7)+G7</f>
        <v>5959.57</v>
      </c>
      <c r="R7" s="208">
        <f>K7-Q7</f>
        <v>14567.955000000002</v>
      </c>
      <c r="S7" s="29">
        <v>842.69</v>
      </c>
      <c r="T7" s="170">
        <f>+E7*17.5%+E7*3%</f>
        <v>3989.5798249999998</v>
      </c>
      <c r="U7" s="333">
        <f>ROUND(+E7*2%,2)</f>
        <v>389.23</v>
      </c>
      <c r="V7" s="334">
        <f>SUM(S7:U7)</f>
        <v>5221.499824999999</v>
      </c>
      <c r="X7" s="335"/>
    </row>
    <row r="8" spans="2:24" ht="21" x14ac:dyDescent="0.35">
      <c r="B8" s="308" t="s">
        <v>17</v>
      </c>
      <c r="C8" s="30" t="s">
        <v>218</v>
      </c>
      <c r="D8" s="308" t="s">
        <v>2</v>
      </c>
      <c r="E8" s="309">
        <v>4997.8599999999997</v>
      </c>
      <c r="F8" s="329">
        <v>15</v>
      </c>
      <c r="G8" s="330"/>
      <c r="H8" s="309"/>
      <c r="I8" s="336">
        <v>0</v>
      </c>
      <c r="J8" s="309"/>
      <c r="K8" s="309">
        <f>E8-I8</f>
        <v>4997.8599999999997</v>
      </c>
      <c r="L8" s="309">
        <v>0</v>
      </c>
      <c r="M8" s="309"/>
      <c r="N8" s="309">
        <v>461.21</v>
      </c>
      <c r="O8" s="309">
        <v>0.08</v>
      </c>
      <c r="P8" s="337"/>
      <c r="Q8" s="309">
        <f>SUM(N8:P8)+G8</f>
        <v>461.28999999999996</v>
      </c>
      <c r="R8" s="208">
        <f>K8-Q8</f>
        <v>4536.57</v>
      </c>
      <c r="S8" s="29">
        <v>449.59</v>
      </c>
      <c r="T8" s="170"/>
      <c r="U8" s="333"/>
      <c r="V8" s="334">
        <f>SUM(S8:U8)</f>
        <v>449.59</v>
      </c>
      <c r="X8" s="335"/>
    </row>
    <row r="9" spans="2:24" ht="18.75" x14ac:dyDescent="0.3">
      <c r="B9" s="338" t="s">
        <v>20</v>
      </c>
      <c r="C9" s="31"/>
      <c r="D9" s="339"/>
      <c r="E9" s="60">
        <f>SUM(E7:E8)</f>
        <v>24459.225000000002</v>
      </c>
      <c r="F9" s="60"/>
      <c r="G9" s="60">
        <f>+G8+G7</f>
        <v>0</v>
      </c>
      <c r="H9" s="60"/>
      <c r="I9" s="340">
        <f>SUM(I7:I8)</f>
        <v>1066.1600000000001</v>
      </c>
      <c r="J9" s="60">
        <f t="shared" ref="J9" si="0">SUM(J7:J8)</f>
        <v>0</v>
      </c>
      <c r="K9" s="60">
        <f>SUM(K7:K8)</f>
        <v>25525.385000000002</v>
      </c>
      <c r="L9" s="60">
        <f t="shared" ref="L9:V9" si="1">SUM(L7:L8)</f>
        <v>0</v>
      </c>
      <c r="M9" s="60">
        <f t="shared" si="1"/>
        <v>0</v>
      </c>
      <c r="N9" s="60">
        <f t="shared" si="1"/>
        <v>4182.5599999999995</v>
      </c>
      <c r="O9" s="60">
        <f t="shared" si="1"/>
        <v>0.24</v>
      </c>
      <c r="P9" s="60">
        <f>SUM(P7:P8)</f>
        <v>2238.06</v>
      </c>
      <c r="Q9" s="60">
        <f t="shared" si="1"/>
        <v>6420.86</v>
      </c>
      <c r="R9" s="60">
        <f>SUM(R7:R8)</f>
        <v>19104.525000000001</v>
      </c>
      <c r="S9" s="60">
        <f t="shared" si="1"/>
        <v>1292.28</v>
      </c>
      <c r="T9" s="60">
        <f t="shared" si="1"/>
        <v>3989.5798249999998</v>
      </c>
      <c r="U9" s="60">
        <f t="shared" si="1"/>
        <v>389.23</v>
      </c>
      <c r="V9" s="60">
        <f t="shared" si="1"/>
        <v>5671.0898249999991</v>
      </c>
      <c r="X9" s="335"/>
    </row>
    <row r="10" spans="2:24" ht="10.5" hidden="1" customHeight="1" x14ac:dyDescent="0.3">
      <c r="C10" s="341"/>
      <c r="E10" s="309"/>
      <c r="F10" s="309"/>
      <c r="G10" s="309"/>
      <c r="H10" s="309"/>
      <c r="I10" s="310"/>
      <c r="J10" s="309"/>
      <c r="K10" s="309"/>
      <c r="L10" s="309"/>
      <c r="M10" s="309"/>
      <c r="N10" s="309"/>
      <c r="O10" s="309"/>
      <c r="P10" s="309"/>
      <c r="Q10" s="309"/>
      <c r="R10" s="342"/>
      <c r="X10" s="335"/>
    </row>
    <row r="11" spans="2:24" ht="18.75" x14ac:dyDescent="0.3">
      <c r="B11" s="343" t="s">
        <v>21</v>
      </c>
      <c r="C11" s="31" t="s">
        <v>22</v>
      </c>
      <c r="E11" s="309"/>
      <c r="F11" s="309"/>
      <c r="G11" s="309"/>
      <c r="H11" s="309"/>
      <c r="I11" s="310"/>
      <c r="J11" s="309"/>
      <c r="K11" s="309"/>
      <c r="L11" s="309"/>
      <c r="M11" s="309"/>
      <c r="N11" s="309"/>
      <c r="O11" s="309"/>
      <c r="P11" s="309"/>
      <c r="Q11" s="309"/>
      <c r="R11" s="342"/>
      <c r="X11" s="335"/>
    </row>
    <row r="12" spans="2:24" ht="21" x14ac:dyDescent="0.35">
      <c r="B12" s="308" t="s">
        <v>23</v>
      </c>
      <c r="C12" s="30" t="s">
        <v>191</v>
      </c>
      <c r="D12" s="308" t="s">
        <v>114</v>
      </c>
      <c r="E12" s="309">
        <v>13000</v>
      </c>
      <c r="F12" s="329">
        <v>15</v>
      </c>
      <c r="G12" s="344">
        <v>2223</v>
      </c>
      <c r="H12" s="309"/>
      <c r="I12" s="331">
        <v>0</v>
      </c>
      <c r="J12" s="309"/>
      <c r="K12" s="309">
        <f t="shared" ref="K12:K21" si="2">E12+I12</f>
        <v>13000</v>
      </c>
      <c r="L12" s="309">
        <v>0</v>
      </c>
      <c r="M12" s="309"/>
      <c r="N12" s="309">
        <v>2161.23</v>
      </c>
      <c r="O12" s="309">
        <v>-0.03</v>
      </c>
      <c r="P12" s="332">
        <f t="shared" ref="P12:P18" si="3">ROUND(E12*0.115,2)</f>
        <v>1495</v>
      </c>
      <c r="Q12" s="309">
        <f t="shared" ref="Q12:Q18" si="4">SUM(N12:P12)+G12</f>
        <v>5879.2</v>
      </c>
      <c r="R12" s="208">
        <f t="shared" ref="R12:R21" si="5">K12-Q12</f>
        <v>7120.8</v>
      </c>
      <c r="S12" s="29">
        <v>637.54</v>
      </c>
      <c r="T12" s="170">
        <f>ROUND(+E12*17.5%,2)+ROUND(E12*3%,2)</f>
        <v>2665</v>
      </c>
      <c r="U12" s="333">
        <f t="shared" ref="U12:U18" si="6">ROUND(+E12*2%,2)</f>
        <v>260</v>
      </c>
      <c r="V12" s="334">
        <f t="shared" ref="V12:V20" si="7">SUM(S12:U12)</f>
        <v>3562.54</v>
      </c>
      <c r="X12" s="335"/>
    </row>
    <row r="13" spans="2:24" ht="21" x14ac:dyDescent="0.35">
      <c r="B13" s="308" t="s">
        <v>24</v>
      </c>
      <c r="C13" s="30" t="s">
        <v>192</v>
      </c>
      <c r="D13" s="308" t="s">
        <v>116</v>
      </c>
      <c r="E13" s="309">
        <v>7000.8</v>
      </c>
      <c r="F13" s="329">
        <v>15</v>
      </c>
      <c r="G13" s="330"/>
      <c r="H13" s="309"/>
      <c r="I13" s="345">
        <v>0</v>
      </c>
      <c r="J13" s="346"/>
      <c r="K13" s="309">
        <f t="shared" si="2"/>
        <v>7000.8</v>
      </c>
      <c r="L13" s="309">
        <v>0</v>
      </c>
      <c r="M13" s="309"/>
      <c r="N13" s="309">
        <v>857.15</v>
      </c>
      <c r="O13" s="309">
        <v>0.05</v>
      </c>
      <c r="P13" s="330"/>
      <c r="Q13" s="309">
        <f t="shared" si="4"/>
        <v>857.19999999999993</v>
      </c>
      <c r="R13" s="208">
        <f t="shared" si="5"/>
        <v>6143.6</v>
      </c>
      <c r="S13" s="29">
        <v>447.06</v>
      </c>
      <c r="T13" s="170"/>
      <c r="U13" s="170"/>
      <c r="V13" s="334">
        <f t="shared" si="7"/>
        <v>447.06</v>
      </c>
      <c r="X13" s="335"/>
    </row>
    <row r="14" spans="2:24" ht="21" x14ac:dyDescent="0.35">
      <c r="B14" s="308" t="s">
        <v>25</v>
      </c>
      <c r="C14" s="30" t="s">
        <v>174</v>
      </c>
      <c r="D14" s="308" t="s">
        <v>115</v>
      </c>
      <c r="E14" s="309"/>
      <c r="F14" s="329">
        <v>15</v>
      </c>
      <c r="G14" s="344">
        <v>0</v>
      </c>
      <c r="H14" s="330"/>
      <c r="I14" s="345">
        <v>0</v>
      </c>
      <c r="J14" s="346"/>
      <c r="K14" s="309">
        <f t="shared" si="2"/>
        <v>0</v>
      </c>
      <c r="L14" s="309">
        <v>0</v>
      </c>
      <c r="M14" s="309"/>
      <c r="N14" s="309"/>
      <c r="O14" s="309"/>
      <c r="P14" s="337">
        <v>0</v>
      </c>
      <c r="Q14" s="309"/>
      <c r="R14" s="208">
        <f>K14-Q14</f>
        <v>0</v>
      </c>
      <c r="S14" s="29">
        <v>0</v>
      </c>
      <c r="T14" s="170">
        <v>0</v>
      </c>
      <c r="U14" s="333">
        <v>0</v>
      </c>
      <c r="V14" s="334">
        <f t="shared" si="7"/>
        <v>0</v>
      </c>
      <c r="X14" s="335"/>
    </row>
    <row r="15" spans="2:24" ht="21" x14ac:dyDescent="0.35">
      <c r="B15" s="308" t="s">
        <v>26</v>
      </c>
      <c r="C15" s="30" t="s">
        <v>193</v>
      </c>
      <c r="D15" s="308" t="s">
        <v>37</v>
      </c>
      <c r="E15" s="309">
        <v>7443.8</v>
      </c>
      <c r="F15" s="329">
        <v>15</v>
      </c>
      <c r="G15" s="309"/>
      <c r="H15" s="309"/>
      <c r="I15" s="345">
        <v>0</v>
      </c>
      <c r="J15" s="309"/>
      <c r="K15" s="309">
        <f t="shared" si="2"/>
        <v>7443.8</v>
      </c>
      <c r="L15" s="309">
        <v>0</v>
      </c>
      <c r="M15" s="309"/>
      <c r="N15" s="309">
        <v>951.78</v>
      </c>
      <c r="O15" s="309">
        <v>0.02</v>
      </c>
      <c r="P15" s="330"/>
      <c r="Q15" s="309">
        <f t="shared" si="4"/>
        <v>951.8</v>
      </c>
      <c r="R15" s="208">
        <f t="shared" si="5"/>
        <v>6492</v>
      </c>
      <c r="S15" s="29">
        <v>440.38</v>
      </c>
      <c r="T15" s="170"/>
      <c r="U15" s="170"/>
      <c r="V15" s="334">
        <f t="shared" si="7"/>
        <v>440.38</v>
      </c>
      <c r="X15" s="335"/>
    </row>
    <row r="16" spans="2:24" ht="21" x14ac:dyDescent="0.35">
      <c r="B16" s="308" t="s">
        <v>27</v>
      </c>
      <c r="C16" s="30" t="s">
        <v>40</v>
      </c>
      <c r="D16" s="308" t="s">
        <v>117</v>
      </c>
      <c r="E16" s="309">
        <v>4918.3649999999998</v>
      </c>
      <c r="F16" s="329">
        <v>15</v>
      </c>
      <c r="G16" s="344">
        <v>1640</v>
      </c>
      <c r="H16" s="309"/>
      <c r="I16" s="345">
        <v>819.72</v>
      </c>
      <c r="J16" s="309"/>
      <c r="K16" s="309">
        <f t="shared" si="2"/>
        <v>5738.085</v>
      </c>
      <c r="L16" s="309">
        <v>0</v>
      </c>
      <c r="M16" s="309"/>
      <c r="N16" s="309">
        <v>447.61</v>
      </c>
      <c r="O16" s="309">
        <v>-0.05</v>
      </c>
      <c r="P16" s="337">
        <f>ROUND(E16*0.115,2)</f>
        <v>565.61</v>
      </c>
      <c r="Q16" s="309">
        <f>SUM(N16:P16)+G16</f>
        <v>2653.17</v>
      </c>
      <c r="R16" s="208">
        <f t="shared" si="5"/>
        <v>3084.915</v>
      </c>
      <c r="S16" s="29">
        <v>385.18</v>
      </c>
      <c r="T16" s="170">
        <f t="shared" ref="T16:T18" si="8">ROUND(+E16*17.5%,2)+ROUND(E16*3%,2)</f>
        <v>1008.26</v>
      </c>
      <c r="U16" s="333">
        <f t="shared" si="6"/>
        <v>98.37</v>
      </c>
      <c r="V16" s="334">
        <f t="shared" si="7"/>
        <v>1491.81</v>
      </c>
      <c r="X16" s="335"/>
    </row>
    <row r="17" spans="2:24" ht="21" x14ac:dyDescent="0.35">
      <c r="B17" s="308" t="s">
        <v>61</v>
      </c>
      <c r="C17" s="30" t="s">
        <v>43</v>
      </c>
      <c r="D17" s="308" t="s">
        <v>3</v>
      </c>
      <c r="E17" s="309">
        <v>4358.17</v>
      </c>
      <c r="F17" s="329">
        <v>15</v>
      </c>
      <c r="G17" s="344">
        <v>1927.08</v>
      </c>
      <c r="H17" s="309"/>
      <c r="I17" s="347">
        <v>726.36</v>
      </c>
      <c r="J17" s="309"/>
      <c r="K17" s="309">
        <f t="shared" si="2"/>
        <v>5084.53</v>
      </c>
      <c r="L17" s="309"/>
      <c r="M17" s="309"/>
      <c r="N17" s="309">
        <v>357.97</v>
      </c>
      <c r="O17" s="309">
        <v>0.13</v>
      </c>
      <c r="P17" s="332">
        <f t="shared" si="3"/>
        <v>501.19</v>
      </c>
      <c r="Q17" s="309">
        <f t="shared" si="4"/>
        <v>2786.37</v>
      </c>
      <c r="R17" s="208">
        <f t="shared" si="5"/>
        <v>2298.16</v>
      </c>
      <c r="S17" s="29">
        <v>376.92</v>
      </c>
      <c r="T17" s="170">
        <f t="shared" si="8"/>
        <v>893.43</v>
      </c>
      <c r="U17" s="333">
        <f t="shared" si="6"/>
        <v>87.16</v>
      </c>
      <c r="V17" s="334">
        <f t="shared" si="7"/>
        <v>1357.51</v>
      </c>
      <c r="X17" s="335"/>
    </row>
    <row r="18" spans="2:24" ht="21" x14ac:dyDescent="0.35">
      <c r="B18" s="308" t="s">
        <v>62</v>
      </c>
      <c r="C18" s="30" t="s">
        <v>42</v>
      </c>
      <c r="D18" s="308" t="s">
        <v>119</v>
      </c>
      <c r="E18" s="309">
        <v>4918.3649999999998</v>
      </c>
      <c r="F18" s="329">
        <v>15</v>
      </c>
      <c r="G18" s="344">
        <v>1340.03</v>
      </c>
      <c r="H18" s="32"/>
      <c r="I18" s="345">
        <v>819.72</v>
      </c>
      <c r="J18" s="309"/>
      <c r="K18" s="309">
        <f t="shared" si="2"/>
        <v>5738.085</v>
      </c>
      <c r="L18" s="309"/>
      <c r="M18" s="309"/>
      <c r="N18" s="309">
        <v>447.61</v>
      </c>
      <c r="O18" s="309">
        <v>-0.08</v>
      </c>
      <c r="P18" s="332">
        <f t="shared" si="3"/>
        <v>565.61</v>
      </c>
      <c r="Q18" s="309">
        <f t="shared" si="4"/>
        <v>2353.17</v>
      </c>
      <c r="R18" s="208">
        <f t="shared" si="5"/>
        <v>3384.915</v>
      </c>
      <c r="S18" s="29">
        <v>385.18</v>
      </c>
      <c r="T18" s="170">
        <f t="shared" si="8"/>
        <v>1008.26</v>
      </c>
      <c r="U18" s="333">
        <f t="shared" si="6"/>
        <v>98.37</v>
      </c>
      <c r="V18" s="334">
        <f t="shared" si="7"/>
        <v>1491.81</v>
      </c>
      <c r="X18" s="335"/>
    </row>
    <row r="19" spans="2:24" ht="21" x14ac:dyDescent="0.35">
      <c r="B19" s="158" t="s">
        <v>187</v>
      </c>
      <c r="C19" s="30" t="s">
        <v>199</v>
      </c>
      <c r="D19" s="158" t="s">
        <v>188</v>
      </c>
      <c r="E19" s="309">
        <v>4918.3649999999998</v>
      </c>
      <c r="F19" s="329">
        <v>15</v>
      </c>
      <c r="G19" s="330"/>
      <c r="H19" s="32"/>
      <c r="I19" s="345">
        <v>0</v>
      </c>
      <c r="J19" s="309"/>
      <c r="K19" s="309">
        <f t="shared" si="2"/>
        <v>4918.3649999999998</v>
      </c>
      <c r="L19" s="309"/>
      <c r="M19" s="309"/>
      <c r="N19" s="309">
        <v>447.61</v>
      </c>
      <c r="O19" s="309">
        <v>-0.04</v>
      </c>
      <c r="P19" s="330"/>
      <c r="Q19" s="309">
        <f t="shared" ref="Q19" si="9">SUM(N19:P19)+G19</f>
        <v>447.57</v>
      </c>
      <c r="R19" s="208">
        <f t="shared" si="5"/>
        <v>4470.7950000000001</v>
      </c>
      <c r="S19" s="29">
        <v>385.18</v>
      </c>
      <c r="T19" s="170"/>
      <c r="U19" s="170"/>
      <c r="V19" s="334">
        <f t="shared" si="7"/>
        <v>385.18</v>
      </c>
      <c r="X19" s="335"/>
    </row>
    <row r="20" spans="2:24" ht="21" x14ac:dyDescent="0.35">
      <c r="B20" s="158" t="s">
        <v>213</v>
      </c>
      <c r="C20" s="30" t="s">
        <v>214</v>
      </c>
      <c r="D20" s="158" t="s">
        <v>3</v>
      </c>
      <c r="E20" s="309">
        <v>4358.17</v>
      </c>
      <c r="F20" s="329">
        <v>15</v>
      </c>
      <c r="G20" s="330"/>
      <c r="H20" s="309"/>
      <c r="I20" s="347">
        <v>0</v>
      </c>
      <c r="J20" s="309"/>
      <c r="K20" s="309">
        <f t="shared" si="2"/>
        <v>4358.17</v>
      </c>
      <c r="L20" s="309"/>
      <c r="M20" s="309"/>
      <c r="N20" s="309">
        <v>357.97</v>
      </c>
      <c r="O20" s="309">
        <v>0</v>
      </c>
      <c r="P20" s="330"/>
      <c r="Q20" s="309">
        <f t="shared" ref="Q20" si="10">SUM(N20:P20)+G20</f>
        <v>357.97</v>
      </c>
      <c r="R20" s="208">
        <f t="shared" si="5"/>
        <v>4000.2</v>
      </c>
      <c r="S20" s="29">
        <v>376.92</v>
      </c>
      <c r="T20" s="170"/>
      <c r="U20" s="333"/>
      <c r="V20" s="334">
        <f t="shared" si="7"/>
        <v>376.92</v>
      </c>
      <c r="X20" s="335"/>
    </row>
    <row r="21" spans="2:24" ht="21" x14ac:dyDescent="0.35">
      <c r="B21" s="158" t="s">
        <v>215</v>
      </c>
      <c r="C21" s="30" t="s">
        <v>217</v>
      </c>
      <c r="D21" s="158" t="s">
        <v>3</v>
      </c>
      <c r="E21" s="309">
        <v>4358.17</v>
      </c>
      <c r="F21" s="329">
        <v>15</v>
      </c>
      <c r="G21" s="330"/>
      <c r="H21" s="309"/>
      <c r="I21" s="347">
        <v>0</v>
      </c>
      <c r="J21" s="309"/>
      <c r="K21" s="309">
        <f t="shared" si="2"/>
        <v>4358.17</v>
      </c>
      <c r="L21" s="309"/>
      <c r="M21" s="309"/>
      <c r="N21" s="309">
        <v>357.97</v>
      </c>
      <c r="O21" s="309">
        <v>0</v>
      </c>
      <c r="P21" s="330"/>
      <c r="Q21" s="309">
        <f t="shared" ref="Q21" si="11">SUM(N21:P21)+G21</f>
        <v>357.97</v>
      </c>
      <c r="R21" s="208">
        <f t="shared" si="5"/>
        <v>4000.2</v>
      </c>
      <c r="S21" s="29">
        <v>376.92</v>
      </c>
      <c r="T21" s="170"/>
      <c r="U21" s="333"/>
      <c r="V21" s="334">
        <f t="shared" ref="V21" si="12">SUM(S21:U21)</f>
        <v>376.92</v>
      </c>
      <c r="X21" s="335"/>
    </row>
    <row r="22" spans="2:24" ht="18.75" x14ac:dyDescent="0.3">
      <c r="B22" s="343" t="s">
        <v>20</v>
      </c>
      <c r="C22" s="348"/>
      <c r="D22" s="339"/>
      <c r="E22" s="60">
        <f>SUM(E12:E21)</f>
        <v>55274.204999999987</v>
      </c>
      <c r="F22" s="60"/>
      <c r="G22" s="60">
        <f>+G19+G17+G16+G12+G13+G14+G18</f>
        <v>7130.11</v>
      </c>
      <c r="H22" s="60"/>
      <c r="I22" s="340">
        <f>SUM(I12:I21)</f>
        <v>2365.8000000000002</v>
      </c>
      <c r="J22" s="60">
        <f>SUM(J12:J19)</f>
        <v>0</v>
      </c>
      <c r="K22" s="60">
        <f>SUM(K12:M21)</f>
        <v>57640.00499999999</v>
      </c>
      <c r="L22" s="60">
        <f>SUM(L12:N21)</f>
        <v>6386.9</v>
      </c>
      <c r="M22" s="60">
        <f>SUM(M12:O21)</f>
        <v>6386.9000000000005</v>
      </c>
      <c r="N22" s="60">
        <f t="shared" ref="N22:V22" si="13">SUM(N12:N21)</f>
        <v>6386.9</v>
      </c>
      <c r="O22" s="60">
        <f t="shared" si="13"/>
        <v>6.9388939039072284E-18</v>
      </c>
      <c r="P22" s="60">
        <f t="shared" si="13"/>
        <v>3127.4100000000003</v>
      </c>
      <c r="Q22" s="60">
        <f t="shared" si="13"/>
        <v>16644.419999999998</v>
      </c>
      <c r="R22" s="60">
        <f t="shared" si="13"/>
        <v>40995.584999999999</v>
      </c>
      <c r="S22" s="60">
        <f t="shared" si="13"/>
        <v>3811.2799999999997</v>
      </c>
      <c r="T22" s="60">
        <f t="shared" si="13"/>
        <v>5574.9500000000007</v>
      </c>
      <c r="U22" s="60">
        <f t="shared" si="13"/>
        <v>543.9</v>
      </c>
      <c r="V22" s="60">
        <f t="shared" si="13"/>
        <v>9930.1299999999992</v>
      </c>
      <c r="X22" s="335"/>
    </row>
    <row r="23" spans="2:24" ht="18.75" hidden="1" x14ac:dyDescent="0.3">
      <c r="B23" s="343"/>
      <c r="C23" s="341"/>
      <c r="E23" s="309"/>
      <c r="F23" s="309"/>
      <c r="G23" s="309"/>
      <c r="H23" s="309"/>
      <c r="I23" s="310"/>
      <c r="J23" s="309"/>
      <c r="K23" s="309"/>
      <c r="L23" s="309"/>
      <c r="M23" s="309"/>
      <c r="N23" s="309"/>
      <c r="O23" s="309"/>
      <c r="P23" s="309"/>
      <c r="Q23" s="309"/>
      <c r="R23" s="342"/>
      <c r="X23" s="335"/>
    </row>
    <row r="24" spans="2:24" ht="18.75" x14ac:dyDescent="0.3">
      <c r="B24" s="343" t="s">
        <v>31</v>
      </c>
      <c r="C24" s="31" t="s">
        <v>83</v>
      </c>
      <c r="E24" s="309"/>
      <c r="F24" s="309"/>
      <c r="G24" s="309"/>
      <c r="H24" s="309"/>
      <c r="I24" s="310"/>
      <c r="J24" s="309"/>
      <c r="K24" s="349"/>
      <c r="L24" s="349"/>
      <c r="M24" s="309"/>
      <c r="N24" s="309"/>
      <c r="O24" s="309"/>
      <c r="P24" s="309"/>
      <c r="Q24" s="309"/>
      <c r="R24" s="342"/>
      <c r="X24" s="335"/>
    </row>
    <row r="25" spans="2:24" ht="21" x14ac:dyDescent="0.35">
      <c r="B25" s="308" t="s">
        <v>63</v>
      </c>
      <c r="C25" s="30" t="s">
        <v>110</v>
      </c>
      <c r="D25" s="158" t="s">
        <v>132</v>
      </c>
      <c r="E25" s="309">
        <v>7000.8</v>
      </c>
      <c r="F25" s="329">
        <v>15</v>
      </c>
      <c r="G25" s="309"/>
      <c r="H25" s="309"/>
      <c r="I25" s="331">
        <v>1166.8</v>
      </c>
      <c r="J25" s="309"/>
      <c r="K25" s="309">
        <f t="shared" ref="K25:K28" si="14">E25+I25</f>
        <v>8167.6</v>
      </c>
      <c r="L25" s="309">
        <v>0</v>
      </c>
      <c r="M25" s="309"/>
      <c r="N25" s="309">
        <v>857.15</v>
      </c>
      <c r="O25" s="309">
        <v>-0.04</v>
      </c>
      <c r="P25" s="332">
        <f>ROUND(E25*0.115,2)</f>
        <v>805.09</v>
      </c>
      <c r="Q25" s="309">
        <f t="shared" ref="Q25:Q26" si="15">SUM(N25:P25)+G25</f>
        <v>1662.2</v>
      </c>
      <c r="R25" s="208">
        <f>K25-Q25</f>
        <v>6505.4000000000005</v>
      </c>
      <c r="S25" s="170">
        <v>447.06</v>
      </c>
      <c r="T25" s="170">
        <f t="shared" ref="T25:T28" si="16">ROUND(+E25*17.5%,2)+ROUND(E25*3%,2)</f>
        <v>1435.16</v>
      </c>
      <c r="U25" s="333">
        <f t="shared" ref="U25:U28" si="17">ROUND(+E25*2%,2)</f>
        <v>140.02000000000001</v>
      </c>
      <c r="V25" s="334">
        <f t="shared" ref="V25:V26" si="18">SUM(S25:U25)</f>
        <v>2022.24</v>
      </c>
      <c r="X25" s="335"/>
    </row>
    <row r="26" spans="2:24" ht="21" x14ac:dyDescent="0.35">
      <c r="B26" s="308" t="s">
        <v>112</v>
      </c>
      <c r="C26" s="30" t="s">
        <v>113</v>
      </c>
      <c r="D26" s="158" t="s">
        <v>133</v>
      </c>
      <c r="E26" s="309">
        <v>7000.8</v>
      </c>
      <c r="F26" s="329">
        <v>15</v>
      </c>
      <c r="G26" s="309"/>
      <c r="H26" s="309"/>
      <c r="I26" s="350">
        <v>1166.8</v>
      </c>
      <c r="J26" s="309"/>
      <c r="K26" s="309">
        <f t="shared" si="14"/>
        <v>8167.6</v>
      </c>
      <c r="L26" s="309">
        <v>0</v>
      </c>
      <c r="M26" s="309"/>
      <c r="N26" s="309">
        <v>857.15</v>
      </c>
      <c r="O26" s="309">
        <v>-0.04</v>
      </c>
      <c r="P26" s="337">
        <f>ROUND(E26*0.115,2)</f>
        <v>805.09</v>
      </c>
      <c r="Q26" s="309">
        <f t="shared" si="15"/>
        <v>1662.2</v>
      </c>
      <c r="R26" s="208">
        <f>K26-Q26</f>
        <v>6505.4000000000005</v>
      </c>
      <c r="S26" s="170">
        <v>447.06</v>
      </c>
      <c r="T26" s="170">
        <f t="shared" si="16"/>
        <v>1435.16</v>
      </c>
      <c r="U26" s="333">
        <f t="shared" si="17"/>
        <v>140.02000000000001</v>
      </c>
      <c r="V26" s="334">
        <f t="shared" si="18"/>
        <v>2022.24</v>
      </c>
      <c r="X26" s="335"/>
    </row>
    <row r="27" spans="2:24" ht="21" x14ac:dyDescent="0.35">
      <c r="B27" s="308" t="s">
        <v>64</v>
      </c>
      <c r="C27" s="30" t="s">
        <v>45</v>
      </c>
      <c r="D27" s="308" t="s">
        <v>122</v>
      </c>
      <c r="E27" s="309">
        <v>7000.8</v>
      </c>
      <c r="F27" s="329">
        <v>15</v>
      </c>
      <c r="G27" s="330"/>
      <c r="H27" s="309"/>
      <c r="I27" s="351">
        <v>1166.8</v>
      </c>
      <c r="J27" s="309"/>
      <c r="K27" s="309">
        <f t="shared" si="14"/>
        <v>8167.6</v>
      </c>
      <c r="L27" s="309">
        <v>0</v>
      </c>
      <c r="M27" s="309"/>
      <c r="N27" s="309">
        <v>857.15</v>
      </c>
      <c r="O27" s="309">
        <v>0.16</v>
      </c>
      <c r="P27" s="332">
        <f>ROUND(E27*0.115,2)</f>
        <v>805.09</v>
      </c>
      <c r="Q27" s="309">
        <f>SUM(N27:P27)+G27</f>
        <v>1662.4</v>
      </c>
      <c r="R27" s="208">
        <f>K27-Q27</f>
        <v>6505.2000000000007</v>
      </c>
      <c r="S27" s="170">
        <v>447.06</v>
      </c>
      <c r="T27" s="170">
        <f t="shared" si="16"/>
        <v>1435.16</v>
      </c>
      <c r="U27" s="333">
        <f t="shared" si="17"/>
        <v>140.02000000000001</v>
      </c>
      <c r="V27" s="334">
        <f>SUM(S27:U27)</f>
        <v>2022.24</v>
      </c>
      <c r="X27" s="335"/>
    </row>
    <row r="28" spans="2:24" ht="21" x14ac:dyDescent="0.35">
      <c r="B28" s="308" t="s">
        <v>65</v>
      </c>
      <c r="C28" s="30" t="s">
        <v>59</v>
      </c>
      <c r="D28" s="158" t="s">
        <v>134</v>
      </c>
      <c r="E28" s="309">
        <v>7000.8</v>
      </c>
      <c r="F28" s="329">
        <v>15</v>
      </c>
      <c r="G28" s="330"/>
      <c r="H28" s="32"/>
      <c r="I28" s="347">
        <v>1166.8</v>
      </c>
      <c r="J28" s="309"/>
      <c r="K28" s="309">
        <f t="shared" si="14"/>
        <v>8167.6</v>
      </c>
      <c r="L28" s="309">
        <v>0</v>
      </c>
      <c r="M28" s="309"/>
      <c r="N28" s="309">
        <v>857.15</v>
      </c>
      <c r="O28" s="309">
        <v>-0.05</v>
      </c>
      <c r="P28" s="332">
        <f>ROUND(E28*0.115,2)</f>
        <v>805.09</v>
      </c>
      <c r="Q28" s="309">
        <f>SUM(N28:P28)+G28</f>
        <v>1662.19</v>
      </c>
      <c r="R28" s="208">
        <f>K28-Q28</f>
        <v>6505.41</v>
      </c>
      <c r="S28" s="170">
        <v>447.06</v>
      </c>
      <c r="T28" s="170">
        <f t="shared" si="16"/>
        <v>1435.16</v>
      </c>
      <c r="U28" s="333">
        <f t="shared" si="17"/>
        <v>140.02000000000001</v>
      </c>
      <c r="V28" s="334">
        <f>SUM(S28:U28)</f>
        <v>2022.24</v>
      </c>
      <c r="X28" s="335"/>
    </row>
    <row r="29" spans="2:24" ht="18.75" x14ac:dyDescent="0.3">
      <c r="B29" s="343" t="s">
        <v>20</v>
      </c>
      <c r="C29" s="31"/>
      <c r="D29" s="339"/>
      <c r="E29" s="60">
        <f>SUM(E25:E28)</f>
        <v>28003.200000000001</v>
      </c>
      <c r="F29" s="60"/>
      <c r="G29" s="60">
        <f>+G28+G27+G25+G26</f>
        <v>0</v>
      </c>
      <c r="H29" s="60"/>
      <c r="I29" s="340">
        <f>SUM(I25:I28)</f>
        <v>4667.2</v>
      </c>
      <c r="J29" s="60">
        <f t="shared" ref="J29" si="19">SUM(J25:J28)</f>
        <v>0</v>
      </c>
      <c r="K29" s="60">
        <f>SUM(K25:K28)</f>
        <v>32670.400000000001</v>
      </c>
      <c r="L29" s="60">
        <f t="shared" ref="L29:V29" si="20">SUM(L25:L28)</f>
        <v>0</v>
      </c>
      <c r="M29" s="60">
        <f t="shared" si="20"/>
        <v>0</v>
      </c>
      <c r="N29" s="60">
        <f t="shared" si="20"/>
        <v>3428.6</v>
      </c>
      <c r="O29" s="60">
        <f t="shared" si="20"/>
        <v>0.03</v>
      </c>
      <c r="P29" s="60">
        <f>SUM(P25:P28)</f>
        <v>3220.36</v>
      </c>
      <c r="Q29" s="60">
        <f t="shared" si="20"/>
        <v>6648.99</v>
      </c>
      <c r="R29" s="60">
        <f>SUM(R25:R28)</f>
        <v>26021.41</v>
      </c>
      <c r="S29" s="60">
        <f t="shared" si="20"/>
        <v>1788.24</v>
      </c>
      <c r="T29" s="60">
        <f t="shared" si="20"/>
        <v>5740.64</v>
      </c>
      <c r="U29" s="60">
        <f t="shared" si="20"/>
        <v>560.08000000000004</v>
      </c>
      <c r="V29" s="60">
        <f t="shared" si="20"/>
        <v>8088.96</v>
      </c>
      <c r="X29" s="335"/>
    </row>
    <row r="30" spans="2:24" ht="18.75" hidden="1" x14ac:dyDescent="0.3">
      <c r="C30" s="341"/>
      <c r="E30" s="309"/>
      <c r="F30" s="309"/>
      <c r="G30" s="309"/>
      <c r="H30" s="309"/>
      <c r="I30" s="310"/>
      <c r="J30" s="309"/>
      <c r="K30" s="309"/>
      <c r="L30" s="309"/>
      <c r="M30" s="309"/>
      <c r="N30" s="309"/>
      <c r="O30" s="309"/>
      <c r="P30" s="309"/>
      <c r="Q30" s="309"/>
      <c r="R30" s="342"/>
      <c r="X30" s="335"/>
    </row>
    <row r="31" spans="2:24" ht="18.75" x14ac:dyDescent="0.3">
      <c r="B31" s="343" t="s">
        <v>33</v>
      </c>
      <c r="C31" s="31" t="s">
        <v>32</v>
      </c>
      <c r="E31" s="309"/>
      <c r="F31" s="309"/>
      <c r="G31" s="309"/>
      <c r="H31" s="309"/>
      <c r="I31" s="310"/>
      <c r="J31" s="309"/>
      <c r="K31" s="309"/>
      <c r="L31" s="309"/>
      <c r="M31" s="309"/>
      <c r="N31" s="309"/>
      <c r="O31" s="309"/>
      <c r="P31" s="309"/>
      <c r="Q31" s="309"/>
      <c r="R31" s="342"/>
      <c r="X31" s="335"/>
    </row>
    <row r="32" spans="2:24" ht="21" hidden="1" x14ac:dyDescent="0.35">
      <c r="B32" s="308" t="s">
        <v>66</v>
      </c>
      <c r="C32" s="30"/>
      <c r="D32" s="158" t="s">
        <v>128</v>
      </c>
      <c r="E32" s="309"/>
      <c r="F32" s="329"/>
      <c r="G32" s="309"/>
      <c r="H32" s="309"/>
      <c r="I32" s="352"/>
      <c r="J32" s="309"/>
      <c r="K32" s="309"/>
      <c r="L32" s="309"/>
      <c r="M32" s="309"/>
      <c r="N32" s="309"/>
      <c r="O32" s="309"/>
      <c r="P32" s="337"/>
      <c r="Q32" s="309"/>
      <c r="R32" s="190"/>
      <c r="S32" s="170"/>
      <c r="T32" s="170"/>
      <c r="U32" s="333"/>
      <c r="V32" s="334"/>
      <c r="X32" s="335"/>
    </row>
    <row r="33" spans="2:24" ht="21" x14ac:dyDescent="0.35">
      <c r="B33" s="308" t="s">
        <v>67</v>
      </c>
      <c r="C33" s="30" t="s">
        <v>51</v>
      </c>
      <c r="D33" s="158" t="s">
        <v>135</v>
      </c>
      <c r="E33" s="309">
        <v>7000.8</v>
      </c>
      <c r="F33" s="329">
        <v>15</v>
      </c>
      <c r="G33" s="344">
        <v>1556</v>
      </c>
      <c r="H33" s="309"/>
      <c r="I33" s="347">
        <v>1166.8</v>
      </c>
      <c r="J33" s="330"/>
      <c r="K33" s="309">
        <f t="shared" ref="K33:K48" si="21">E33+I33</f>
        <v>8167.6</v>
      </c>
      <c r="L33" s="330">
        <v>0</v>
      </c>
      <c r="M33" s="309"/>
      <c r="N33" s="309">
        <v>857.15</v>
      </c>
      <c r="O33" s="309">
        <v>0.16</v>
      </c>
      <c r="P33" s="337">
        <f t="shared" ref="P33:P40" si="22">ROUND(E33*0.115,2)</f>
        <v>805.09</v>
      </c>
      <c r="Q33" s="309">
        <f>SUM(N33:P33)+G33</f>
        <v>3218.4</v>
      </c>
      <c r="R33" s="208">
        <f t="shared" ref="R33:R48" si="23">K33-Q33</f>
        <v>4949.2000000000007</v>
      </c>
      <c r="S33" s="170">
        <v>447.06</v>
      </c>
      <c r="T33" s="170">
        <f t="shared" ref="T33:T40" si="24">ROUND(+E33*17.5%,2)+ROUND(E33*3%,2)</f>
        <v>1435.16</v>
      </c>
      <c r="U33" s="333">
        <f t="shared" ref="U33:U40" si="25">ROUND(+E33*2%,2)</f>
        <v>140.02000000000001</v>
      </c>
      <c r="V33" s="334">
        <f>SUM(S33:U33)</f>
        <v>2022.24</v>
      </c>
      <c r="X33" s="335"/>
    </row>
    <row r="34" spans="2:24" ht="21" x14ac:dyDescent="0.35">
      <c r="B34" s="308" t="s">
        <v>68</v>
      </c>
      <c r="C34" s="30" t="s">
        <v>194</v>
      </c>
      <c r="D34" s="308" t="s">
        <v>123</v>
      </c>
      <c r="E34" s="309">
        <v>7443.8</v>
      </c>
      <c r="F34" s="329">
        <v>15</v>
      </c>
      <c r="G34" s="309"/>
      <c r="H34" s="309"/>
      <c r="I34" s="347">
        <v>0</v>
      </c>
      <c r="J34" s="309"/>
      <c r="K34" s="309">
        <f t="shared" si="21"/>
        <v>7443.8</v>
      </c>
      <c r="L34" s="309">
        <v>0</v>
      </c>
      <c r="M34" s="309"/>
      <c r="N34" s="309">
        <v>951.78</v>
      </c>
      <c r="O34" s="309">
        <v>0.02</v>
      </c>
      <c r="P34" s="330"/>
      <c r="Q34" s="309">
        <f t="shared" ref="Q34:Q39" si="26">SUM(N34:P34)+G34</f>
        <v>951.8</v>
      </c>
      <c r="R34" s="208">
        <f t="shared" si="23"/>
        <v>6492</v>
      </c>
      <c r="S34" s="170">
        <v>440.38</v>
      </c>
      <c r="T34" s="170"/>
      <c r="U34" s="170"/>
      <c r="V34" s="334">
        <f t="shared" ref="V34:V42" si="27">SUM(S34:U34)</f>
        <v>440.38</v>
      </c>
      <c r="X34" s="335"/>
    </row>
    <row r="35" spans="2:24" ht="21" x14ac:dyDescent="0.35">
      <c r="B35" s="308" t="s">
        <v>77</v>
      </c>
      <c r="C35" s="30" t="s">
        <v>111</v>
      </c>
      <c r="D35" s="308" t="s">
        <v>127</v>
      </c>
      <c r="E35" s="309">
        <v>7000.8</v>
      </c>
      <c r="F35" s="329">
        <v>15</v>
      </c>
      <c r="G35" s="344">
        <v>1167</v>
      </c>
      <c r="H35" s="309"/>
      <c r="I35" s="345">
        <v>1166.8</v>
      </c>
      <c r="J35" s="309"/>
      <c r="K35" s="309">
        <f t="shared" si="21"/>
        <v>8167.6</v>
      </c>
      <c r="L35" s="309">
        <v>0</v>
      </c>
      <c r="M35" s="309"/>
      <c r="N35" s="309">
        <v>857.15</v>
      </c>
      <c r="O35" s="309">
        <v>-0.04</v>
      </c>
      <c r="P35" s="337">
        <f t="shared" si="22"/>
        <v>805.09</v>
      </c>
      <c r="Q35" s="309">
        <f>SUM(N35:P35)+G35</f>
        <v>2829.2</v>
      </c>
      <c r="R35" s="208">
        <f>K35-Q35</f>
        <v>5338.4000000000005</v>
      </c>
      <c r="S35" s="170">
        <v>447.06</v>
      </c>
      <c r="T35" s="170">
        <f t="shared" si="24"/>
        <v>1435.16</v>
      </c>
      <c r="U35" s="333">
        <f t="shared" si="25"/>
        <v>140.02000000000001</v>
      </c>
      <c r="V35" s="334">
        <f t="shared" si="27"/>
        <v>2022.24</v>
      </c>
      <c r="X35" s="335"/>
    </row>
    <row r="36" spans="2:24" ht="21" x14ac:dyDescent="0.35">
      <c r="B36" s="308" t="s">
        <v>70</v>
      </c>
      <c r="C36" s="30" t="s">
        <v>46</v>
      </c>
      <c r="D36" s="308" t="s">
        <v>124</v>
      </c>
      <c r="E36" s="309">
        <v>7000.8</v>
      </c>
      <c r="F36" s="329">
        <v>15</v>
      </c>
      <c r="G36" s="344">
        <v>1945</v>
      </c>
      <c r="H36" s="309"/>
      <c r="I36" s="345">
        <v>1166.8</v>
      </c>
      <c r="J36" s="330"/>
      <c r="K36" s="309">
        <f t="shared" si="21"/>
        <v>8167.6</v>
      </c>
      <c r="L36" s="330">
        <v>0</v>
      </c>
      <c r="M36" s="309"/>
      <c r="N36" s="309">
        <v>857.15</v>
      </c>
      <c r="O36" s="309">
        <v>0.05</v>
      </c>
      <c r="P36" s="337">
        <f t="shared" si="22"/>
        <v>805.09</v>
      </c>
      <c r="Q36" s="309">
        <f t="shared" si="26"/>
        <v>3607.29</v>
      </c>
      <c r="R36" s="208">
        <f t="shared" si="23"/>
        <v>4560.3100000000004</v>
      </c>
      <c r="S36" s="170">
        <v>447.06</v>
      </c>
      <c r="T36" s="170">
        <f t="shared" si="24"/>
        <v>1435.16</v>
      </c>
      <c r="U36" s="333">
        <f t="shared" si="25"/>
        <v>140.02000000000001</v>
      </c>
      <c r="V36" s="334">
        <f t="shared" si="27"/>
        <v>2022.24</v>
      </c>
      <c r="X36" s="335"/>
    </row>
    <row r="37" spans="2:24" ht="21" x14ac:dyDescent="0.35">
      <c r="B37" s="308" t="s">
        <v>71</v>
      </c>
      <c r="C37" s="30" t="s">
        <v>50</v>
      </c>
      <c r="D37" s="308" t="s">
        <v>124</v>
      </c>
      <c r="E37" s="309">
        <v>7000.8</v>
      </c>
      <c r="F37" s="329">
        <v>15</v>
      </c>
      <c r="G37" s="344">
        <v>2917</v>
      </c>
      <c r="H37" s="330"/>
      <c r="I37" s="347">
        <v>1166.8</v>
      </c>
      <c r="J37" s="330"/>
      <c r="K37" s="309">
        <f t="shared" si="21"/>
        <v>8167.6</v>
      </c>
      <c r="L37" s="330">
        <v>0</v>
      </c>
      <c r="M37" s="309"/>
      <c r="N37" s="309">
        <v>857.15</v>
      </c>
      <c r="O37" s="309">
        <v>-0.04</v>
      </c>
      <c r="P37" s="337">
        <f t="shared" si="22"/>
        <v>805.09</v>
      </c>
      <c r="Q37" s="309">
        <f t="shared" si="26"/>
        <v>4579.2</v>
      </c>
      <c r="R37" s="208">
        <f t="shared" si="23"/>
        <v>3588.4000000000005</v>
      </c>
      <c r="S37" s="170">
        <v>447.06</v>
      </c>
      <c r="T37" s="170">
        <f t="shared" si="24"/>
        <v>1435.16</v>
      </c>
      <c r="U37" s="333">
        <f t="shared" si="25"/>
        <v>140.02000000000001</v>
      </c>
      <c r="V37" s="334">
        <f t="shared" si="27"/>
        <v>2022.24</v>
      </c>
      <c r="X37" s="335"/>
    </row>
    <row r="38" spans="2:24" ht="21" x14ac:dyDescent="0.35">
      <c r="B38" s="308" t="s">
        <v>72</v>
      </c>
      <c r="C38" s="30" t="s">
        <v>195</v>
      </c>
      <c r="D38" s="308" t="s">
        <v>124</v>
      </c>
      <c r="E38" s="309">
        <v>7000.8</v>
      </c>
      <c r="F38" s="329">
        <v>15</v>
      </c>
      <c r="G38" s="309"/>
      <c r="H38" s="309"/>
      <c r="I38" s="345">
        <v>0</v>
      </c>
      <c r="J38" s="330"/>
      <c r="K38" s="309">
        <f t="shared" si="21"/>
        <v>7000.8</v>
      </c>
      <c r="L38" s="330">
        <v>0</v>
      </c>
      <c r="M38" s="309"/>
      <c r="N38" s="309">
        <v>857.15</v>
      </c>
      <c r="O38" s="309">
        <v>0.05</v>
      </c>
      <c r="P38" s="330"/>
      <c r="Q38" s="309">
        <f t="shared" si="26"/>
        <v>857.19999999999993</v>
      </c>
      <c r="R38" s="208">
        <f t="shared" si="23"/>
        <v>6143.6</v>
      </c>
      <c r="S38" s="170">
        <v>447.06</v>
      </c>
      <c r="T38" s="170"/>
      <c r="U38" s="170"/>
      <c r="V38" s="334">
        <f t="shared" si="27"/>
        <v>447.06</v>
      </c>
      <c r="X38" s="335"/>
    </row>
    <row r="39" spans="2:24" s="353" customFormat="1" ht="21" x14ac:dyDescent="0.35">
      <c r="B39" s="7" t="s">
        <v>73</v>
      </c>
      <c r="C39" s="30" t="s">
        <v>47</v>
      </c>
      <c r="D39" s="7" t="s">
        <v>125</v>
      </c>
      <c r="E39" s="309">
        <v>7000.8</v>
      </c>
      <c r="F39" s="329">
        <v>15</v>
      </c>
      <c r="G39" s="309"/>
      <c r="H39" s="309"/>
      <c r="I39" s="345">
        <v>1138.0999999999999</v>
      </c>
      <c r="J39" s="330"/>
      <c r="K39" s="309">
        <f t="shared" si="21"/>
        <v>8138.9</v>
      </c>
      <c r="L39" s="330">
        <v>0</v>
      </c>
      <c r="M39" s="309"/>
      <c r="N39" s="309">
        <v>857.15</v>
      </c>
      <c r="O39" s="309">
        <v>-0.04</v>
      </c>
      <c r="P39" s="337">
        <f t="shared" si="22"/>
        <v>805.09</v>
      </c>
      <c r="Q39" s="309">
        <f t="shared" si="26"/>
        <v>1662.2</v>
      </c>
      <c r="R39" s="208">
        <f t="shared" si="23"/>
        <v>6476.7</v>
      </c>
      <c r="S39" s="170">
        <v>447.06</v>
      </c>
      <c r="T39" s="170">
        <f t="shared" si="24"/>
        <v>1435.16</v>
      </c>
      <c r="U39" s="333">
        <f t="shared" si="25"/>
        <v>140.02000000000001</v>
      </c>
      <c r="V39" s="334">
        <f t="shared" si="27"/>
        <v>2022.24</v>
      </c>
      <c r="X39" s="170"/>
    </row>
    <row r="40" spans="2:24" ht="21" x14ac:dyDescent="0.35">
      <c r="B40" s="308" t="s">
        <v>74</v>
      </c>
      <c r="C40" s="30" t="s">
        <v>53</v>
      </c>
      <c r="D40" s="308" t="s">
        <v>125</v>
      </c>
      <c r="E40" s="309">
        <v>7000.8</v>
      </c>
      <c r="F40" s="329">
        <v>15</v>
      </c>
      <c r="G40" s="330"/>
      <c r="H40" s="309"/>
      <c r="I40" s="345">
        <v>1166.8</v>
      </c>
      <c r="J40" s="309"/>
      <c r="K40" s="309">
        <f t="shared" si="21"/>
        <v>8167.6</v>
      </c>
      <c r="L40" s="309">
        <v>0</v>
      </c>
      <c r="M40" s="309"/>
      <c r="N40" s="309">
        <v>857.15</v>
      </c>
      <c r="O40" s="309">
        <v>-0.04</v>
      </c>
      <c r="P40" s="337">
        <f t="shared" si="22"/>
        <v>805.09</v>
      </c>
      <c r="Q40" s="309">
        <f>SUM(N40:P40)+G40</f>
        <v>1662.2</v>
      </c>
      <c r="R40" s="208">
        <f t="shared" si="23"/>
        <v>6505.4000000000005</v>
      </c>
      <c r="S40" s="170">
        <v>447.06</v>
      </c>
      <c r="T40" s="170">
        <f t="shared" si="24"/>
        <v>1435.16</v>
      </c>
      <c r="U40" s="333">
        <f t="shared" si="25"/>
        <v>140.02000000000001</v>
      </c>
      <c r="V40" s="334">
        <f t="shared" si="27"/>
        <v>2022.24</v>
      </c>
      <c r="X40" s="335"/>
    </row>
    <row r="41" spans="2:24" ht="21" x14ac:dyDescent="0.35">
      <c r="B41" s="308" t="s">
        <v>75</v>
      </c>
      <c r="C41" s="30" t="s">
        <v>203</v>
      </c>
      <c r="D41" s="308" t="s">
        <v>126</v>
      </c>
      <c r="E41" s="309">
        <v>7000.8</v>
      </c>
      <c r="F41" s="329">
        <v>15</v>
      </c>
      <c r="G41" s="330"/>
      <c r="H41" s="309"/>
      <c r="I41" s="345">
        <v>0</v>
      </c>
      <c r="J41" s="309"/>
      <c r="K41" s="309">
        <f t="shared" si="21"/>
        <v>7000.8</v>
      </c>
      <c r="L41" s="309">
        <v>0</v>
      </c>
      <c r="M41" s="309"/>
      <c r="N41" s="309">
        <v>857.15</v>
      </c>
      <c r="O41" s="309">
        <v>0.05</v>
      </c>
      <c r="P41" s="330"/>
      <c r="Q41" s="309">
        <f>SUM(N41:P41)+G41</f>
        <v>857.19999999999993</v>
      </c>
      <c r="R41" s="208">
        <f t="shared" si="23"/>
        <v>6143.6</v>
      </c>
      <c r="S41" s="170">
        <v>447.06</v>
      </c>
      <c r="T41" s="170"/>
      <c r="U41" s="170"/>
      <c r="V41" s="334">
        <f t="shared" si="27"/>
        <v>447.06</v>
      </c>
      <c r="X41" s="335"/>
    </row>
    <row r="42" spans="2:24" ht="21" x14ac:dyDescent="0.35">
      <c r="B42" s="308" t="s">
        <v>76</v>
      </c>
      <c r="C42" s="30" t="s">
        <v>205</v>
      </c>
      <c r="D42" s="308" t="s">
        <v>126</v>
      </c>
      <c r="E42" s="309">
        <v>7000.8</v>
      </c>
      <c r="F42" s="329">
        <v>15</v>
      </c>
      <c r="G42" s="330"/>
      <c r="H42" s="309"/>
      <c r="I42" s="345">
        <v>0</v>
      </c>
      <c r="J42" s="309"/>
      <c r="K42" s="309">
        <f t="shared" si="21"/>
        <v>7000.8</v>
      </c>
      <c r="L42" s="309">
        <v>0</v>
      </c>
      <c r="M42" s="309"/>
      <c r="N42" s="309">
        <v>857.15</v>
      </c>
      <c r="O42" s="309">
        <v>0.02</v>
      </c>
      <c r="P42" s="330"/>
      <c r="Q42" s="309">
        <f>SUM(N42:P42)+G42</f>
        <v>857.17</v>
      </c>
      <c r="R42" s="208">
        <f t="shared" si="23"/>
        <v>6143.63</v>
      </c>
      <c r="S42" s="170">
        <v>447.06</v>
      </c>
      <c r="T42" s="170"/>
      <c r="U42" s="170"/>
      <c r="V42" s="334">
        <f t="shared" si="27"/>
        <v>447.06</v>
      </c>
      <c r="X42" s="335"/>
    </row>
    <row r="43" spans="2:24" ht="21" x14ac:dyDescent="0.35">
      <c r="B43" s="158" t="s">
        <v>150</v>
      </c>
      <c r="C43" s="30" t="s">
        <v>171</v>
      </c>
      <c r="D43" s="158" t="s">
        <v>109</v>
      </c>
      <c r="E43" s="309">
        <v>7000.8</v>
      </c>
      <c r="F43" s="329">
        <v>15</v>
      </c>
      <c r="G43" s="330"/>
      <c r="H43" s="309"/>
      <c r="I43" s="345">
        <v>1166.8</v>
      </c>
      <c r="J43" s="309"/>
      <c r="K43" s="309">
        <f t="shared" si="21"/>
        <v>8167.6</v>
      </c>
      <c r="L43" s="309">
        <v>0</v>
      </c>
      <c r="M43" s="309"/>
      <c r="N43" s="309">
        <v>857.15</v>
      </c>
      <c r="O43" s="309">
        <v>-0.15</v>
      </c>
      <c r="P43" s="330"/>
      <c r="Q43" s="309">
        <f t="shared" ref="Q43:Q46" si="28">SUM(N43:P43)+G43</f>
        <v>857</v>
      </c>
      <c r="R43" s="208">
        <f t="shared" si="23"/>
        <v>7310.6</v>
      </c>
      <c r="S43" s="170">
        <v>447.06</v>
      </c>
      <c r="T43" s="170"/>
      <c r="U43" s="170"/>
      <c r="V43" s="334">
        <f t="shared" ref="V43:V46" si="29">SUM(S43:U43)</f>
        <v>447.06</v>
      </c>
      <c r="X43" s="335"/>
    </row>
    <row r="44" spans="2:24" ht="21" x14ac:dyDescent="0.35">
      <c r="B44" s="158" t="s">
        <v>151</v>
      </c>
      <c r="C44" s="30" t="s">
        <v>172</v>
      </c>
      <c r="D44" s="158" t="s">
        <v>109</v>
      </c>
      <c r="E44" s="309">
        <v>7000.8</v>
      </c>
      <c r="F44" s="329">
        <v>15</v>
      </c>
      <c r="G44" s="330"/>
      <c r="H44" s="309"/>
      <c r="I44" s="345">
        <v>1166.8</v>
      </c>
      <c r="J44" s="309"/>
      <c r="K44" s="309">
        <f t="shared" si="21"/>
        <v>8167.6</v>
      </c>
      <c r="L44" s="309">
        <v>0</v>
      </c>
      <c r="M44" s="309"/>
      <c r="N44" s="309">
        <v>857.15</v>
      </c>
      <c r="O44" s="309">
        <v>-7.0000000000000007E-2</v>
      </c>
      <c r="P44" s="337">
        <v>805.12</v>
      </c>
      <c r="Q44" s="309">
        <f>SUM(N44:P44)+G44</f>
        <v>1662.1999999999998</v>
      </c>
      <c r="R44" s="208">
        <f t="shared" si="23"/>
        <v>6505.4000000000005</v>
      </c>
      <c r="S44" s="170">
        <v>447.06</v>
      </c>
      <c r="T44" s="170">
        <v>1435.21</v>
      </c>
      <c r="U44" s="333">
        <f t="shared" ref="U44:U46" si="30">ROUND(+E44*2%,2)</f>
        <v>140.02000000000001</v>
      </c>
      <c r="V44" s="334">
        <f t="shared" ref="V44:V45" si="31">SUM(S44:U44)</f>
        <v>2022.29</v>
      </c>
      <c r="X44" s="335"/>
    </row>
    <row r="45" spans="2:24" ht="21" x14ac:dyDescent="0.35">
      <c r="B45" s="158" t="s">
        <v>152</v>
      </c>
      <c r="C45" s="30" t="s">
        <v>173</v>
      </c>
      <c r="D45" s="158" t="s">
        <v>109</v>
      </c>
      <c r="E45" s="309">
        <v>7000.8</v>
      </c>
      <c r="F45" s="329">
        <v>15</v>
      </c>
      <c r="G45" s="330"/>
      <c r="H45" s="309"/>
      <c r="I45" s="345">
        <v>1166.8</v>
      </c>
      <c r="J45" s="309"/>
      <c r="K45" s="309">
        <f t="shared" si="21"/>
        <v>8167.6</v>
      </c>
      <c r="L45" s="309">
        <v>0</v>
      </c>
      <c r="M45" s="309"/>
      <c r="N45" s="309">
        <v>857.15</v>
      </c>
      <c r="O45" s="309">
        <v>-7.0000000000000007E-2</v>
      </c>
      <c r="P45" s="337">
        <v>805.12</v>
      </c>
      <c r="Q45" s="309">
        <f>SUM(N45:P45)+G45</f>
        <v>1662.1999999999998</v>
      </c>
      <c r="R45" s="208">
        <f t="shared" si="23"/>
        <v>6505.4000000000005</v>
      </c>
      <c r="S45" s="170">
        <v>447.06</v>
      </c>
      <c r="T45" s="170">
        <v>1435.21</v>
      </c>
      <c r="U45" s="333">
        <f t="shared" si="30"/>
        <v>140.02000000000001</v>
      </c>
      <c r="V45" s="334">
        <f t="shared" si="31"/>
        <v>2022.29</v>
      </c>
      <c r="X45" s="335"/>
    </row>
    <row r="46" spans="2:24" ht="21" x14ac:dyDescent="0.35">
      <c r="B46" s="158" t="s">
        <v>198</v>
      </c>
      <c r="C46" s="30" t="s">
        <v>48</v>
      </c>
      <c r="D46" s="158" t="s">
        <v>109</v>
      </c>
      <c r="E46" s="309">
        <v>7000.8</v>
      </c>
      <c r="F46" s="329">
        <v>15</v>
      </c>
      <c r="G46" s="330"/>
      <c r="H46" s="309"/>
      <c r="I46" s="345">
        <v>383.53</v>
      </c>
      <c r="J46" s="309"/>
      <c r="K46" s="309">
        <f t="shared" si="21"/>
        <v>7384.33</v>
      </c>
      <c r="L46" s="309">
        <v>0</v>
      </c>
      <c r="M46" s="309"/>
      <c r="N46" s="309">
        <v>857.15</v>
      </c>
      <c r="O46" s="309">
        <v>-0.04</v>
      </c>
      <c r="P46" s="337">
        <f t="shared" ref="P46" si="32">ROUND(E46*0.115,2)</f>
        <v>805.09</v>
      </c>
      <c r="Q46" s="309">
        <f t="shared" si="28"/>
        <v>1662.2</v>
      </c>
      <c r="R46" s="256">
        <f t="shared" si="23"/>
        <v>5722.13</v>
      </c>
      <c r="S46" s="170">
        <v>429.48</v>
      </c>
      <c r="T46" s="170">
        <f t="shared" ref="T46" si="33">ROUND(+E46*17.5%,2)+ROUND(E46*3%,2)</f>
        <v>1435.16</v>
      </c>
      <c r="U46" s="333">
        <f t="shared" si="30"/>
        <v>140.02000000000001</v>
      </c>
      <c r="V46" s="334">
        <f t="shared" si="29"/>
        <v>2004.66</v>
      </c>
      <c r="X46" s="335"/>
    </row>
    <row r="47" spans="2:24" ht="21" x14ac:dyDescent="0.35">
      <c r="B47" s="158" t="s">
        <v>208</v>
      </c>
      <c r="C47" s="30" t="s">
        <v>211</v>
      </c>
      <c r="D47" s="158" t="s">
        <v>109</v>
      </c>
      <c r="E47" s="309">
        <v>7000.8</v>
      </c>
      <c r="F47" s="329">
        <v>15</v>
      </c>
      <c r="G47" s="309"/>
      <c r="H47" s="309"/>
      <c r="I47" s="345">
        <v>0</v>
      </c>
      <c r="J47" s="330"/>
      <c r="K47" s="309">
        <f t="shared" si="21"/>
        <v>7000.8</v>
      </c>
      <c r="L47" s="330">
        <v>0</v>
      </c>
      <c r="M47" s="309"/>
      <c r="N47" s="309">
        <v>857.15</v>
      </c>
      <c r="O47" s="309">
        <v>0.12</v>
      </c>
      <c r="P47" s="330"/>
      <c r="Q47" s="309">
        <f t="shared" ref="Q47" si="34">SUM(N47:P47)+G47</f>
        <v>857.27</v>
      </c>
      <c r="R47" s="208">
        <f t="shared" si="23"/>
        <v>6143.5300000000007</v>
      </c>
      <c r="S47" s="170">
        <v>447.06</v>
      </c>
      <c r="T47" s="170"/>
      <c r="U47" s="170"/>
      <c r="V47" s="334">
        <f t="shared" ref="V47" si="35">SUM(S47:U47)</f>
        <v>447.06</v>
      </c>
      <c r="X47" s="335"/>
    </row>
    <row r="48" spans="2:24" ht="21" x14ac:dyDescent="0.35">
      <c r="B48" s="158" t="s">
        <v>209</v>
      </c>
      <c r="C48" s="30" t="s">
        <v>212</v>
      </c>
      <c r="D48" s="158" t="s">
        <v>210</v>
      </c>
      <c r="E48" s="309">
        <v>4358.17</v>
      </c>
      <c r="F48" s="329">
        <v>15</v>
      </c>
      <c r="G48" s="330"/>
      <c r="H48" s="309"/>
      <c r="I48" s="347">
        <v>0</v>
      </c>
      <c r="J48" s="309"/>
      <c r="K48" s="309">
        <f t="shared" si="21"/>
        <v>4358.17</v>
      </c>
      <c r="L48" s="309"/>
      <c r="M48" s="309"/>
      <c r="N48" s="309">
        <v>357.97</v>
      </c>
      <c r="O48" s="309">
        <v>0</v>
      </c>
      <c r="P48" s="330"/>
      <c r="Q48" s="309">
        <f t="shared" ref="Q48" si="36">SUM(N48:P48)+G48</f>
        <v>357.97</v>
      </c>
      <c r="R48" s="248">
        <f t="shared" si="23"/>
        <v>4000.2</v>
      </c>
      <c r="S48" s="29">
        <v>376.92</v>
      </c>
      <c r="T48" s="170"/>
      <c r="U48" s="333"/>
      <c r="V48" s="334">
        <f t="shared" ref="V48" si="37">SUM(S48:U48)</f>
        <v>376.92</v>
      </c>
      <c r="X48" s="335"/>
    </row>
    <row r="49" spans="1:24" ht="18.75" x14ac:dyDescent="0.3">
      <c r="B49" s="343" t="s">
        <v>20</v>
      </c>
      <c r="C49" s="31"/>
      <c r="D49" s="339"/>
      <c r="E49" s="60">
        <f t="shared" ref="E49:J49" si="38">SUM(E32:E46)</f>
        <v>98454.200000000026</v>
      </c>
      <c r="F49" s="60">
        <f t="shared" si="38"/>
        <v>210</v>
      </c>
      <c r="G49" s="60">
        <f>SUM(G32:G48)</f>
        <v>7585</v>
      </c>
      <c r="H49" s="60">
        <f t="shared" si="38"/>
        <v>0</v>
      </c>
      <c r="I49" s="340">
        <f>SUM(I32:J48)</f>
        <v>10856.029999999999</v>
      </c>
      <c r="J49" s="60">
        <f t="shared" si="38"/>
        <v>0</v>
      </c>
      <c r="K49" s="60">
        <f>SUM(K32:K48)</f>
        <v>120669.20000000003</v>
      </c>
      <c r="L49" s="60">
        <f t="shared" ref="L49:V49" si="39">SUM(L32:L48)</f>
        <v>0</v>
      </c>
      <c r="M49" s="60">
        <f t="shared" si="39"/>
        <v>0</v>
      </c>
      <c r="N49" s="60">
        <f t="shared" si="39"/>
        <v>13309.849999999997</v>
      </c>
      <c r="O49" s="60">
        <f t="shared" si="39"/>
        <v>-2.0000000000000046E-2</v>
      </c>
      <c r="P49" s="60">
        <f>SUM(P32:P48)</f>
        <v>7245.87</v>
      </c>
      <c r="Q49" s="60">
        <f t="shared" si="39"/>
        <v>28140.700000000004</v>
      </c>
      <c r="R49" s="60">
        <f>SUM(R32:R48)</f>
        <v>92528.499999999985</v>
      </c>
      <c r="S49" s="60">
        <f t="shared" si="39"/>
        <v>7058.5600000000022</v>
      </c>
      <c r="T49" s="60">
        <f t="shared" si="39"/>
        <v>12916.54</v>
      </c>
      <c r="U49" s="60">
        <f t="shared" si="39"/>
        <v>1260.18</v>
      </c>
      <c r="V49" s="60">
        <f t="shared" si="39"/>
        <v>21235.279999999999</v>
      </c>
      <c r="X49" s="335"/>
    </row>
    <row r="50" spans="1:24" ht="18.75" hidden="1" x14ac:dyDescent="0.3">
      <c r="C50" s="341"/>
      <c r="E50" s="309"/>
      <c r="F50" s="309"/>
      <c r="G50" s="309"/>
      <c r="H50" s="309"/>
      <c r="I50" s="310"/>
      <c r="J50" s="309"/>
      <c r="K50" s="309"/>
      <c r="L50" s="309"/>
      <c r="M50" s="309"/>
      <c r="N50" s="309"/>
      <c r="O50" s="309"/>
      <c r="P50" s="309"/>
      <c r="Q50" s="309"/>
      <c r="R50" s="342"/>
      <c r="X50" s="335"/>
    </row>
    <row r="51" spans="1:24" ht="18.75" x14ac:dyDescent="0.3">
      <c r="B51" s="343" t="s">
        <v>78</v>
      </c>
      <c r="C51" s="31" t="s">
        <v>34</v>
      </c>
      <c r="E51" s="309"/>
      <c r="F51" s="309"/>
      <c r="G51" s="309"/>
      <c r="H51" s="309"/>
      <c r="I51" s="310"/>
      <c r="J51" s="309"/>
      <c r="K51" s="309"/>
      <c r="L51" s="309"/>
      <c r="M51" s="309"/>
      <c r="N51" s="309"/>
      <c r="O51" s="309"/>
      <c r="P51" s="309"/>
      <c r="Q51" s="309"/>
      <c r="R51" s="342"/>
      <c r="X51" s="335"/>
    </row>
    <row r="52" spans="1:24" ht="21" x14ac:dyDescent="0.35">
      <c r="B52" s="308" t="s">
        <v>69</v>
      </c>
      <c r="C52" s="30" t="s">
        <v>196</v>
      </c>
      <c r="D52" s="308" t="s">
        <v>130</v>
      </c>
      <c r="E52" s="309">
        <v>7443.8</v>
      </c>
      <c r="F52" s="329">
        <v>15</v>
      </c>
      <c r="G52" s="342"/>
      <c r="H52" s="309"/>
      <c r="I52" s="345">
        <v>0</v>
      </c>
      <c r="J52" s="330"/>
      <c r="K52" s="309">
        <f t="shared" ref="K52:K57" si="40">E52+I52</f>
        <v>7443.8</v>
      </c>
      <c r="L52" s="330"/>
      <c r="M52" s="309"/>
      <c r="N52" s="309">
        <v>951.78</v>
      </c>
      <c r="O52" s="309">
        <v>0.02</v>
      </c>
      <c r="P52" s="330"/>
      <c r="Q52" s="309">
        <f t="shared" ref="Q52" si="41">SUM(N52:P52)+G52</f>
        <v>951.8</v>
      </c>
      <c r="R52" s="208">
        <f t="shared" ref="R52:R53" si="42">K52-Q52</f>
        <v>6492</v>
      </c>
      <c r="S52" s="170">
        <v>440.38</v>
      </c>
      <c r="T52" s="170"/>
      <c r="U52" s="170"/>
      <c r="V52" s="334">
        <f t="shared" ref="V52:V57" si="43">SUM(S52:U52)</f>
        <v>440.38</v>
      </c>
      <c r="X52" s="335"/>
    </row>
    <row r="53" spans="1:24" ht="21" x14ac:dyDescent="0.35">
      <c r="B53" s="308" t="s">
        <v>81</v>
      </c>
      <c r="C53" s="30" t="s">
        <v>168</v>
      </c>
      <c r="D53" s="308" t="s">
        <v>128</v>
      </c>
      <c r="E53" s="309">
        <v>7000.8</v>
      </c>
      <c r="F53" s="329">
        <v>15</v>
      </c>
      <c r="G53" s="330"/>
      <c r="H53" s="309"/>
      <c r="I53" s="345">
        <v>1166.8</v>
      </c>
      <c r="J53" s="309"/>
      <c r="K53" s="309">
        <f t="shared" si="40"/>
        <v>8167.6</v>
      </c>
      <c r="L53" s="309"/>
      <c r="M53" s="309"/>
      <c r="N53" s="309">
        <v>857.15</v>
      </c>
      <c r="O53" s="309">
        <v>0.03</v>
      </c>
      <c r="P53" s="337">
        <v>805.12</v>
      </c>
      <c r="Q53" s="309">
        <f>SUM(N53:P53)+G53</f>
        <v>1662.3</v>
      </c>
      <c r="R53" s="208">
        <f t="shared" si="42"/>
        <v>6505.3</v>
      </c>
      <c r="S53" s="170">
        <v>447.06</v>
      </c>
      <c r="T53" s="170">
        <v>1435.21</v>
      </c>
      <c r="U53" s="333">
        <f t="shared" ref="U53:U54" si="44">ROUND(+E53*2%,2)</f>
        <v>140.02000000000001</v>
      </c>
      <c r="V53" s="334">
        <f t="shared" ref="V53" si="45">SUM(S53:U53)</f>
        <v>2022.29</v>
      </c>
      <c r="X53" s="335"/>
    </row>
    <row r="54" spans="1:24" ht="21" x14ac:dyDescent="0.35">
      <c r="B54" s="308" t="s">
        <v>107</v>
      </c>
      <c r="C54" s="30" t="s">
        <v>108</v>
      </c>
      <c r="D54" s="308" t="s">
        <v>109</v>
      </c>
      <c r="E54" s="309">
        <v>7000.8</v>
      </c>
      <c r="F54" s="329">
        <v>15</v>
      </c>
      <c r="G54" s="309"/>
      <c r="H54" s="309"/>
      <c r="I54" s="345">
        <v>1166.8</v>
      </c>
      <c r="J54" s="309"/>
      <c r="K54" s="309">
        <f t="shared" si="40"/>
        <v>8167.6</v>
      </c>
      <c r="L54" s="309"/>
      <c r="M54" s="309"/>
      <c r="N54" s="309">
        <v>857.15</v>
      </c>
      <c r="O54" s="309">
        <v>0.01</v>
      </c>
      <c r="P54" s="332">
        <f>ROUND(E54*0.115,2)</f>
        <v>805.09</v>
      </c>
      <c r="Q54" s="309">
        <f>SUM(N54:P54)+G54</f>
        <v>1662.25</v>
      </c>
      <c r="R54" s="208">
        <f>K54-Q54</f>
        <v>6505.35</v>
      </c>
      <c r="S54" s="170">
        <v>447.06</v>
      </c>
      <c r="T54" s="170">
        <f t="shared" ref="T54" si="46">ROUND(+E54*17.5%,2)+ROUND(E54*3%,2)</f>
        <v>1435.16</v>
      </c>
      <c r="U54" s="333">
        <f t="shared" si="44"/>
        <v>140.02000000000001</v>
      </c>
      <c r="V54" s="334">
        <f t="shared" si="43"/>
        <v>2022.24</v>
      </c>
      <c r="X54" s="335"/>
    </row>
    <row r="55" spans="1:24" ht="31.5" x14ac:dyDescent="0.35">
      <c r="A55" s="308" t="s">
        <v>179</v>
      </c>
      <c r="B55" s="158" t="s">
        <v>156</v>
      </c>
      <c r="C55" s="30" t="s">
        <v>183</v>
      </c>
      <c r="D55" s="198" t="s">
        <v>160</v>
      </c>
      <c r="E55" s="309">
        <v>6791.5</v>
      </c>
      <c r="F55" s="329">
        <v>15</v>
      </c>
      <c r="G55" s="330"/>
      <c r="H55" s="309"/>
      <c r="I55" s="345">
        <v>1081.92</v>
      </c>
      <c r="J55" s="309"/>
      <c r="K55" s="309">
        <f t="shared" si="40"/>
        <v>7873.42</v>
      </c>
      <c r="L55" s="309"/>
      <c r="M55" s="309"/>
      <c r="N55" s="309">
        <v>812.45</v>
      </c>
      <c r="O55" s="309">
        <v>0.05</v>
      </c>
      <c r="P55" s="330"/>
      <c r="Q55" s="309">
        <f t="shared" ref="Q55" si="47">SUM(N55:P55)+G55</f>
        <v>812.5</v>
      </c>
      <c r="R55" s="208">
        <f t="shared" ref="R55:R56" si="48">K55-Q55</f>
        <v>7060.92</v>
      </c>
      <c r="S55" s="170">
        <v>453.29</v>
      </c>
      <c r="T55" s="170"/>
      <c r="U55" s="170"/>
      <c r="V55" s="334">
        <f t="shared" ref="V55" si="49">SUM(S55:U55)</f>
        <v>453.29</v>
      </c>
      <c r="X55" s="335"/>
    </row>
    <row r="56" spans="1:24" ht="31.5" x14ac:dyDescent="0.35">
      <c r="B56" s="158" t="s">
        <v>157</v>
      </c>
      <c r="C56" s="30" t="s">
        <v>197</v>
      </c>
      <c r="D56" s="198" t="s">
        <v>160</v>
      </c>
      <c r="E56" s="309">
        <v>6791.5</v>
      </c>
      <c r="F56" s="329">
        <v>13</v>
      </c>
      <c r="G56" s="330"/>
      <c r="H56" s="309"/>
      <c r="I56" s="345">
        <v>0</v>
      </c>
      <c r="J56" s="309"/>
      <c r="K56" s="309">
        <f t="shared" si="40"/>
        <v>6791.5</v>
      </c>
      <c r="L56" s="309"/>
      <c r="M56" s="309"/>
      <c r="N56" s="309">
        <v>812.45</v>
      </c>
      <c r="O56" s="309">
        <v>-0.05</v>
      </c>
      <c r="P56" s="330"/>
      <c r="Q56" s="309">
        <f t="shared" ref="Q56" si="50">SUM(N56:P56)+G56</f>
        <v>812.40000000000009</v>
      </c>
      <c r="R56" s="208">
        <f t="shared" si="48"/>
        <v>5979.1</v>
      </c>
      <c r="S56" s="170">
        <v>325.19</v>
      </c>
      <c r="T56" s="170"/>
      <c r="U56" s="170"/>
      <c r="V56" s="334">
        <f t="shared" si="43"/>
        <v>325.19</v>
      </c>
      <c r="X56" s="335"/>
    </row>
    <row r="57" spans="1:24" ht="31.5" x14ac:dyDescent="0.35">
      <c r="B57" s="158" t="s">
        <v>158</v>
      </c>
      <c r="C57" s="30" t="s">
        <v>169</v>
      </c>
      <c r="D57" s="198" t="s">
        <v>160</v>
      </c>
      <c r="E57" s="309">
        <v>6791.5</v>
      </c>
      <c r="F57" s="329">
        <v>15</v>
      </c>
      <c r="G57" s="309"/>
      <c r="H57" s="309"/>
      <c r="I57" s="345">
        <v>1081.92</v>
      </c>
      <c r="J57" s="309"/>
      <c r="K57" s="309">
        <f t="shared" si="40"/>
        <v>7873.42</v>
      </c>
      <c r="L57" s="309"/>
      <c r="M57" s="309"/>
      <c r="N57" s="309">
        <v>812.45</v>
      </c>
      <c r="O57" s="309">
        <v>0.03</v>
      </c>
      <c r="P57" s="337">
        <f t="shared" ref="P57" si="51">ROUND(E57*0.115,2)</f>
        <v>781.02</v>
      </c>
      <c r="Q57" s="309">
        <f>SUM(N57:P57)+G57</f>
        <v>1593.5</v>
      </c>
      <c r="R57" s="208">
        <f>K57-Q57</f>
        <v>6279.92</v>
      </c>
      <c r="S57" s="170">
        <v>440.42</v>
      </c>
      <c r="T57" s="170">
        <f t="shared" ref="T57" si="52">ROUND(+E57*17.5%,2)+ROUND(E57*3%,2)</f>
        <v>1392.26</v>
      </c>
      <c r="U57" s="333">
        <f t="shared" ref="U57" si="53">ROUND(+E57*2%,2)</f>
        <v>135.83000000000001</v>
      </c>
      <c r="V57" s="334">
        <f t="shared" si="43"/>
        <v>1968.51</v>
      </c>
      <c r="X57" s="335"/>
    </row>
    <row r="58" spans="1:24" ht="18.75" x14ac:dyDescent="0.3">
      <c r="B58" s="343" t="s">
        <v>20</v>
      </c>
      <c r="C58" s="31"/>
      <c r="D58" s="339"/>
      <c r="E58" s="60">
        <f>SUM(E52:E57)</f>
        <v>41819.9</v>
      </c>
      <c r="F58" s="60"/>
      <c r="G58" s="60">
        <f t="shared" ref="G58:J58" si="54">SUM(G52:G57)</f>
        <v>0</v>
      </c>
      <c r="H58" s="60">
        <f t="shared" si="54"/>
        <v>0</v>
      </c>
      <c r="I58" s="340">
        <f>SUM(I52:I57)</f>
        <v>4497.4400000000005</v>
      </c>
      <c r="J58" s="60">
        <f t="shared" si="54"/>
        <v>0</v>
      </c>
      <c r="K58" s="60">
        <f>SUM(K52:K57)</f>
        <v>46317.34</v>
      </c>
      <c r="L58" s="60">
        <f t="shared" ref="L58:V58" si="55">SUM(L52:L57)</f>
        <v>0</v>
      </c>
      <c r="M58" s="60">
        <f t="shared" si="55"/>
        <v>0</v>
      </c>
      <c r="N58" s="60">
        <f t="shared" si="55"/>
        <v>5103.4299999999994</v>
      </c>
      <c r="O58" s="60">
        <f t="shared" si="55"/>
        <v>9.0000000000000011E-2</v>
      </c>
      <c r="P58" s="60">
        <f t="shared" si="55"/>
        <v>2391.23</v>
      </c>
      <c r="Q58" s="60">
        <f t="shared" si="55"/>
        <v>7494.75</v>
      </c>
      <c r="R58" s="60">
        <f>SUM(R52:R57)</f>
        <v>38822.589999999997</v>
      </c>
      <c r="S58" s="60">
        <f t="shared" si="55"/>
        <v>2553.4</v>
      </c>
      <c r="T58" s="60">
        <f t="shared" si="55"/>
        <v>4262.63</v>
      </c>
      <c r="U58" s="60">
        <f t="shared" si="55"/>
        <v>415.87</v>
      </c>
      <c r="V58" s="60">
        <f t="shared" si="55"/>
        <v>7231.9</v>
      </c>
      <c r="X58" s="335"/>
    </row>
    <row r="59" spans="1:24" ht="18.75" hidden="1" x14ac:dyDescent="0.3">
      <c r="B59" s="343"/>
      <c r="C59" s="341"/>
      <c r="E59" s="309"/>
      <c r="F59" s="309"/>
      <c r="G59" s="309"/>
      <c r="H59" s="309"/>
      <c r="I59" s="310"/>
      <c r="J59" s="309"/>
      <c r="K59" s="66"/>
      <c r="L59" s="66"/>
      <c r="M59" s="66"/>
      <c r="N59" s="66"/>
      <c r="O59" s="66"/>
      <c r="P59" s="66"/>
      <c r="Q59" s="66"/>
      <c r="R59" s="354"/>
      <c r="S59" s="68"/>
      <c r="T59" s="68"/>
      <c r="U59" s="68"/>
      <c r="V59" s="68"/>
      <c r="X59" s="335"/>
    </row>
    <row r="60" spans="1:24" ht="18.75" x14ac:dyDescent="0.3">
      <c r="B60" s="343" t="s">
        <v>84</v>
      </c>
      <c r="C60" s="31" t="s">
        <v>85</v>
      </c>
      <c r="E60" s="309"/>
      <c r="F60" s="309"/>
      <c r="G60" s="309"/>
      <c r="H60" s="309"/>
      <c r="I60" s="310"/>
      <c r="J60" s="309"/>
      <c r="K60" s="66"/>
      <c r="L60" s="66"/>
      <c r="M60" s="66"/>
      <c r="N60" s="66"/>
      <c r="O60" s="66"/>
      <c r="P60" s="66"/>
      <c r="Q60" s="66"/>
      <c r="R60" s="354"/>
      <c r="S60" s="68"/>
      <c r="T60" s="68"/>
      <c r="U60" s="68"/>
      <c r="V60" s="68"/>
      <c r="X60" s="335"/>
    </row>
    <row r="61" spans="1:24" ht="21" x14ac:dyDescent="0.35">
      <c r="B61" s="308" t="s">
        <v>86</v>
      </c>
      <c r="C61" s="30" t="s">
        <v>200</v>
      </c>
      <c r="D61" s="308" t="s">
        <v>114</v>
      </c>
      <c r="E61" s="309">
        <v>13000</v>
      </c>
      <c r="F61" s="329">
        <v>15</v>
      </c>
      <c r="G61" s="344">
        <v>2784</v>
      </c>
      <c r="H61" s="309"/>
      <c r="I61" s="331">
        <v>0</v>
      </c>
      <c r="J61" s="309"/>
      <c r="K61" s="309">
        <f t="shared" ref="K61" si="56">E61+I61</f>
        <v>13000</v>
      </c>
      <c r="L61" s="309">
        <v>0</v>
      </c>
      <c r="M61" s="309"/>
      <c r="N61" s="309">
        <v>2161.23</v>
      </c>
      <c r="O61" s="309">
        <v>-0.03</v>
      </c>
      <c r="P61" s="337">
        <f t="shared" ref="P61" si="57">ROUND(E61*0.115,2)</f>
        <v>1495</v>
      </c>
      <c r="Q61" s="309">
        <f>SUM(N61:P61)+G61</f>
        <v>6440.2</v>
      </c>
      <c r="R61" s="208">
        <f>K61-Q61</f>
        <v>6559.8</v>
      </c>
      <c r="S61" s="29">
        <v>637.54</v>
      </c>
      <c r="T61" s="170">
        <f t="shared" ref="T61" si="58">ROUND(+E61*17.5%,2)+ROUND(E61*3%,2)</f>
        <v>2665</v>
      </c>
      <c r="U61" s="333">
        <f>ROUND(+E61*2%,2)</f>
        <v>260</v>
      </c>
      <c r="V61" s="334">
        <f t="shared" ref="V61" si="59">SUM(S61:U61)</f>
        <v>3562.54</v>
      </c>
      <c r="X61" s="335"/>
    </row>
    <row r="62" spans="1:24" ht="18.75" x14ac:dyDescent="0.3">
      <c r="B62" s="343" t="s">
        <v>20</v>
      </c>
      <c r="E62" s="60">
        <f>E61</f>
        <v>13000</v>
      </c>
      <c r="F62" s="60"/>
      <c r="G62" s="60">
        <f>+G61</f>
        <v>2784</v>
      </c>
      <c r="H62" s="60"/>
      <c r="I62" s="340">
        <f>I61</f>
        <v>0</v>
      </c>
      <c r="J62" s="60">
        <f>J61</f>
        <v>0</v>
      </c>
      <c r="K62" s="60">
        <f>K61</f>
        <v>13000</v>
      </c>
      <c r="L62" s="60">
        <f t="shared" ref="L62:V62" si="60">L61</f>
        <v>0</v>
      </c>
      <c r="M62" s="60">
        <f t="shared" si="60"/>
        <v>0</v>
      </c>
      <c r="N62" s="60">
        <f t="shared" si="60"/>
        <v>2161.23</v>
      </c>
      <c r="O62" s="60">
        <f t="shared" si="60"/>
        <v>-0.03</v>
      </c>
      <c r="P62" s="60">
        <f t="shared" si="60"/>
        <v>1495</v>
      </c>
      <c r="Q62" s="60">
        <f t="shared" si="60"/>
        <v>6440.2</v>
      </c>
      <c r="R62" s="60">
        <f>R61</f>
        <v>6559.8</v>
      </c>
      <c r="S62" s="60">
        <f t="shared" si="60"/>
        <v>637.54</v>
      </c>
      <c r="T62" s="60">
        <f t="shared" si="60"/>
        <v>2665</v>
      </c>
      <c r="U62" s="60">
        <f t="shared" si="60"/>
        <v>260</v>
      </c>
      <c r="V62" s="60">
        <f t="shared" si="60"/>
        <v>3562.54</v>
      </c>
      <c r="X62" s="335"/>
    </row>
    <row r="63" spans="1:24" ht="12" customHeight="1" x14ac:dyDescent="0.3">
      <c r="B63" s="343"/>
      <c r="E63" s="309"/>
      <c r="F63" s="309"/>
      <c r="G63" s="309"/>
      <c r="H63" s="309"/>
      <c r="I63" s="310"/>
      <c r="J63" s="309"/>
      <c r="K63" s="66"/>
      <c r="L63" s="66"/>
      <c r="M63" s="66"/>
      <c r="N63" s="66"/>
      <c r="O63" s="66"/>
      <c r="P63" s="66"/>
      <c r="Q63" s="66"/>
      <c r="R63" s="354"/>
      <c r="S63" s="68"/>
      <c r="T63" s="68"/>
      <c r="U63" s="68"/>
      <c r="V63" s="68"/>
    </row>
    <row r="64" spans="1:24" ht="18.75" hidden="1" x14ac:dyDescent="0.3">
      <c r="R64" s="356"/>
    </row>
    <row r="65" spans="3:24" ht="18.75" x14ac:dyDescent="0.3">
      <c r="C65" s="70" t="s">
        <v>56</v>
      </c>
      <c r="E65" s="71">
        <f>E9+E22+E29+E49+E58+E62</f>
        <v>261010.73</v>
      </c>
      <c r="F65" s="71"/>
      <c r="G65" s="357">
        <f>G9+G22+G29+G49+G58+G62</f>
        <v>17499.11</v>
      </c>
      <c r="H65" s="71"/>
      <c r="I65" s="358">
        <f t="shared" ref="I65:Q65" si="61">I9+I22+I29+I49+I58+I62</f>
        <v>23452.629999999997</v>
      </c>
      <c r="J65" s="71">
        <f t="shared" si="61"/>
        <v>0</v>
      </c>
      <c r="K65" s="71">
        <f t="shared" si="61"/>
        <v>295822.32999999996</v>
      </c>
      <c r="L65" s="71">
        <f t="shared" si="61"/>
        <v>6386.9</v>
      </c>
      <c r="M65" s="71">
        <f t="shared" si="61"/>
        <v>6386.9000000000005</v>
      </c>
      <c r="N65" s="71">
        <f t="shared" si="61"/>
        <v>34572.57</v>
      </c>
      <c r="O65" s="71">
        <f t="shared" si="61"/>
        <v>0.30999999999999994</v>
      </c>
      <c r="P65" s="357">
        <f t="shared" si="61"/>
        <v>19717.93</v>
      </c>
      <c r="Q65" s="71">
        <f t="shared" si="61"/>
        <v>71789.919999999998</v>
      </c>
      <c r="R65" s="72">
        <f>ROUND(+R9+R22+R29+R49+R58+R62,1)</f>
        <v>224032.4</v>
      </c>
      <c r="S65" s="71">
        <f>S9+S22+S29+S49+S58+S62</f>
        <v>17141.300000000003</v>
      </c>
      <c r="T65" s="71">
        <f>T62+T58+T49+T29+T22+T9</f>
        <v>35149.339825000003</v>
      </c>
      <c r="U65" s="357">
        <f>U9+U22+U29+U49+U58+U62</f>
        <v>3429.26</v>
      </c>
      <c r="V65" s="357">
        <f>V9+V22+V29+V49+V58+V62</f>
        <v>55719.899825</v>
      </c>
    </row>
    <row r="66" spans="3:24" ht="18.75" x14ac:dyDescent="0.3">
      <c r="S66" s="71"/>
      <c r="T66" s="71"/>
    </row>
    <row r="67" spans="3:24" x14ac:dyDescent="0.25">
      <c r="T67" s="309"/>
      <c r="X67" s="335"/>
    </row>
    <row r="68" spans="3:24" x14ac:dyDescent="0.25">
      <c r="N68" s="308">
        <v>0</v>
      </c>
    </row>
    <row r="69" spans="3:24" x14ac:dyDescent="0.25">
      <c r="I69" s="359"/>
    </row>
    <row r="71" spans="3:24" ht="16.5" thickBot="1" x14ac:dyDescent="0.3"/>
    <row r="72" spans="3:24" ht="15" x14ac:dyDescent="0.25">
      <c r="E72" s="360" t="s">
        <v>91</v>
      </c>
      <c r="F72" s="361"/>
      <c r="R72" s="303" t="s">
        <v>202</v>
      </c>
      <c r="S72" s="362"/>
    </row>
    <row r="74" spans="3:24" x14ac:dyDescent="0.25">
      <c r="E74" s="363"/>
      <c r="F74" s="363"/>
      <c r="G74" s="364"/>
      <c r="H74" s="364"/>
      <c r="P74" s="363"/>
      <c r="Q74" s="363"/>
    </row>
    <row r="75" spans="3:24" ht="15" x14ac:dyDescent="0.25">
      <c r="E75" s="300"/>
      <c r="F75" s="363"/>
      <c r="G75" s="365"/>
      <c r="H75" s="365"/>
      <c r="P75" s="366"/>
      <c r="Q75" s="366"/>
      <c r="R75" s="300"/>
      <c r="S75" s="363"/>
      <c r="T75" s="364"/>
    </row>
    <row r="79" spans="3:24" x14ac:dyDescent="0.25">
      <c r="C79" s="308" t="s">
        <v>90</v>
      </c>
    </row>
  </sheetData>
  <mergeCells count="7">
    <mergeCell ref="B4:V4"/>
    <mergeCell ref="E72:F72"/>
    <mergeCell ref="R72:S72"/>
    <mergeCell ref="E74:F74"/>
    <mergeCell ref="P74:Q74"/>
    <mergeCell ref="E75:F75"/>
    <mergeCell ref="R75:S7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08980-D693-4A2F-A3BB-A059BD096B4F}">
  <dimension ref="B3:O67"/>
  <sheetViews>
    <sheetView topLeftCell="A28" zoomScale="85" zoomScaleNormal="85" workbookViewId="0">
      <selection activeCell="E14" sqref="E14"/>
    </sheetView>
  </sheetViews>
  <sheetFormatPr baseColWidth="10" defaultRowHeight="15.75" x14ac:dyDescent="0.25"/>
  <cols>
    <col min="1" max="1" width="4.28515625" style="33" customWidth="1"/>
    <col min="2" max="2" width="24.140625" style="33" bestFit="1" customWidth="1"/>
    <col min="3" max="3" width="36.5703125" style="33" customWidth="1"/>
    <col min="4" max="4" width="28.140625" style="33" customWidth="1"/>
    <col min="5" max="5" width="18.42578125" style="33" customWidth="1"/>
    <col min="6" max="6" width="14.140625" style="33" hidden="1" customWidth="1"/>
    <col min="7" max="7" width="12.28515625" style="33" bestFit="1" customWidth="1"/>
    <col min="8" max="8" width="18.140625" style="33" customWidth="1"/>
    <col min="9" max="9" width="11.28515625" style="33" bestFit="1" customWidth="1"/>
    <col min="10" max="10" width="11.42578125" style="33" customWidth="1"/>
    <col min="11" max="11" width="16.5703125" style="33" customWidth="1"/>
    <col min="12" max="12" width="19.85546875" style="61" customWidth="1"/>
    <col min="13" max="13" width="16.140625" style="33" hidden="1" customWidth="1"/>
    <col min="14" max="14" width="17" style="33" hidden="1" customWidth="1"/>
    <col min="15" max="16384" width="11.42578125" style="33"/>
  </cols>
  <sheetData>
    <row r="3" spans="2:15" ht="16.5" customHeight="1" x14ac:dyDescent="0.25">
      <c r="B3" s="291" t="s">
        <v>142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2:15" s="48" customFormat="1" ht="31.5" x14ac:dyDescent="0.25">
      <c r="B4" s="36" t="s">
        <v>5</v>
      </c>
      <c r="C4" s="37" t="s">
        <v>6</v>
      </c>
      <c r="D4" s="38" t="s">
        <v>0</v>
      </c>
      <c r="E4" s="39" t="s">
        <v>131</v>
      </c>
      <c r="F4" s="41" t="s">
        <v>94</v>
      </c>
      <c r="G4" s="42" t="s">
        <v>129</v>
      </c>
      <c r="H4" s="38" t="s">
        <v>8</v>
      </c>
      <c r="I4" s="40" t="s">
        <v>79</v>
      </c>
      <c r="J4" s="3" t="s">
        <v>141</v>
      </c>
      <c r="K4" s="44" t="s">
        <v>11</v>
      </c>
      <c r="L4" s="45" t="s">
        <v>35</v>
      </c>
      <c r="M4" s="43" t="s">
        <v>4</v>
      </c>
      <c r="N4" s="46" t="s">
        <v>36</v>
      </c>
      <c r="O4" s="47"/>
    </row>
    <row r="5" spans="2:15" x14ac:dyDescent="0.25">
      <c r="B5" s="49" t="s">
        <v>13</v>
      </c>
      <c r="C5" s="50" t="s">
        <v>14</v>
      </c>
      <c r="D5" s="50"/>
      <c r="E5" s="51"/>
      <c r="F5" s="34"/>
      <c r="G5" s="51"/>
      <c r="H5" s="51"/>
      <c r="I5" s="34"/>
      <c r="J5" s="51"/>
      <c r="K5" s="51"/>
      <c r="L5" s="35"/>
    </row>
    <row r="6" spans="2:15" ht="18.75" x14ac:dyDescent="0.3">
      <c r="B6" s="33" t="s">
        <v>15</v>
      </c>
      <c r="C6" s="52" t="s">
        <v>16</v>
      </c>
      <c r="D6" s="33" t="s">
        <v>19</v>
      </c>
      <c r="E6" s="34">
        <v>748.51500000000306</v>
      </c>
      <c r="F6" s="34"/>
      <c r="G6" s="75">
        <v>1</v>
      </c>
      <c r="H6" s="34">
        <f>E6*G6</f>
        <v>748.51500000000306</v>
      </c>
      <c r="I6" s="34">
        <v>224.55999999999995</v>
      </c>
      <c r="J6" s="34">
        <v>-0.04</v>
      </c>
      <c r="K6" s="34">
        <f>+I6+J6</f>
        <v>224.51999999999995</v>
      </c>
      <c r="L6" s="172">
        <f>+H6-K6</f>
        <v>523.99500000000307</v>
      </c>
      <c r="M6" s="53">
        <f>+'[2]IMSS INCREMENTO 4%'!$AR$2/2</f>
        <v>684.75956133216448</v>
      </c>
      <c r="N6" s="54">
        <f>SUM(M6:M6)</f>
        <v>684.75956133216448</v>
      </c>
    </row>
    <row r="7" spans="2:15" ht="18.75" x14ac:dyDescent="0.3">
      <c r="B7" s="33" t="s">
        <v>17</v>
      </c>
      <c r="C7" s="52" t="s">
        <v>18</v>
      </c>
      <c r="D7" s="33" t="s">
        <v>2</v>
      </c>
      <c r="E7" s="34">
        <v>240.27999999999975</v>
      </c>
      <c r="F7" s="34"/>
      <c r="G7" s="75">
        <v>1</v>
      </c>
      <c r="H7" s="34">
        <f>E7*G7</f>
        <v>240.27999999999975</v>
      </c>
      <c r="I7" s="34">
        <v>51.319999999999936</v>
      </c>
      <c r="J7" s="34">
        <v>-0.04</v>
      </c>
      <c r="K7" s="34">
        <f>+I7+J7</f>
        <v>51.279999999999937</v>
      </c>
      <c r="L7" s="172">
        <f>H7-K7</f>
        <v>188.9999999999998</v>
      </c>
      <c r="M7" s="53">
        <f>+'[2]IMSS INCREMENTO 4%'!$AR$3/2</f>
        <v>331.41678275799086</v>
      </c>
      <c r="N7" s="54">
        <f>SUM(M7:M7)</f>
        <v>331.41678275799086</v>
      </c>
    </row>
    <row r="8" spans="2:15" ht="18.75" x14ac:dyDescent="0.3">
      <c r="B8" s="56" t="s">
        <v>20</v>
      </c>
      <c r="C8" s="57"/>
      <c r="D8" s="58"/>
      <c r="E8" s="59">
        <f>SUM(E6:E7)</f>
        <v>988.7950000000028</v>
      </c>
      <c r="F8" s="59"/>
      <c r="G8" s="76"/>
      <c r="H8" s="59">
        <f t="shared" ref="H8:N8" si="0">SUM(H6:H7)</f>
        <v>988.7950000000028</v>
      </c>
      <c r="I8" s="59">
        <f>SUM(I6:I7)</f>
        <v>275.87999999999988</v>
      </c>
      <c r="J8" s="59">
        <f t="shared" si="0"/>
        <v>-0.08</v>
      </c>
      <c r="K8" s="59">
        <f t="shared" si="0"/>
        <v>275.7999999999999</v>
      </c>
      <c r="L8" s="60">
        <f>SUM(L6:L7)</f>
        <v>712.99500000000285</v>
      </c>
      <c r="M8" s="59">
        <f t="shared" si="0"/>
        <v>1016.1763440901553</v>
      </c>
      <c r="N8" s="59">
        <f t="shared" si="0"/>
        <v>1016.1763440901553</v>
      </c>
    </row>
    <row r="9" spans="2:15" ht="10.5" hidden="1" customHeight="1" x14ac:dyDescent="0.3">
      <c r="C9" s="61"/>
      <c r="E9" s="34"/>
      <c r="F9" s="34"/>
      <c r="G9" s="77"/>
      <c r="H9" s="34"/>
      <c r="I9" s="34"/>
      <c r="J9" s="34"/>
      <c r="K9" s="34"/>
      <c r="L9" s="62"/>
    </row>
    <row r="10" spans="2:15" ht="18.75" x14ac:dyDescent="0.3">
      <c r="B10" s="63" t="s">
        <v>21</v>
      </c>
      <c r="C10" s="57" t="s">
        <v>22</v>
      </c>
      <c r="E10" s="34"/>
      <c r="F10" s="34"/>
      <c r="G10" s="77"/>
      <c r="H10" s="34"/>
      <c r="I10" s="34"/>
      <c r="J10" s="34"/>
      <c r="K10" s="34"/>
      <c r="L10" s="62"/>
    </row>
    <row r="11" spans="2:15" ht="18.75" x14ac:dyDescent="0.3">
      <c r="B11" s="33" t="s">
        <v>23</v>
      </c>
      <c r="C11" s="52" t="s">
        <v>28</v>
      </c>
      <c r="D11" s="33" t="s">
        <v>114</v>
      </c>
      <c r="E11" s="34">
        <v>500</v>
      </c>
      <c r="F11" s="34"/>
      <c r="G11" s="75">
        <v>1</v>
      </c>
      <c r="H11" s="34">
        <f t="shared" ref="H11:H18" si="1">E11*G11</f>
        <v>500</v>
      </c>
      <c r="I11" s="34">
        <v>117.58999999999969</v>
      </c>
      <c r="J11" s="34">
        <v>0.01</v>
      </c>
      <c r="K11" s="34">
        <f>+I11+J11</f>
        <v>117.5999999999997</v>
      </c>
      <c r="L11" s="172">
        <f t="shared" ref="L11:L18" si="2">H11-K11</f>
        <v>382.40000000000032</v>
      </c>
      <c r="M11" s="53">
        <f>+'[2]IMSS INCREMENTO 4%'!$AR$4/2</f>
        <v>481.74497987214613</v>
      </c>
      <c r="N11" s="54">
        <f t="shared" ref="N11:N18" si="3">SUM(M11:M11)</f>
        <v>481.74497987214613</v>
      </c>
    </row>
    <row r="12" spans="2:15" ht="18.75" x14ac:dyDescent="0.3">
      <c r="B12" s="33" t="s">
        <v>24</v>
      </c>
      <c r="C12" s="52" t="s">
        <v>29</v>
      </c>
      <c r="D12" s="33" t="s">
        <v>116</v>
      </c>
      <c r="E12" s="34">
        <v>269.25</v>
      </c>
      <c r="F12" s="34"/>
      <c r="G12" s="75">
        <v>1</v>
      </c>
      <c r="H12" s="34">
        <f t="shared" si="1"/>
        <v>269.25</v>
      </c>
      <c r="I12" s="34">
        <v>57.509999999999991</v>
      </c>
      <c r="J12" s="34">
        <v>-0.06</v>
      </c>
      <c r="K12" s="34">
        <f t="shared" ref="K12:K18" si="4">+I12+J12</f>
        <v>57.449999999999989</v>
      </c>
      <c r="L12" s="172">
        <f t="shared" si="2"/>
        <v>211.8</v>
      </c>
      <c r="M12" s="53">
        <f>+'[2]IMSS INCREMENTO 4%'!$AR$5/2</f>
        <v>346.01175335159814</v>
      </c>
      <c r="N12" s="54">
        <f t="shared" si="3"/>
        <v>346.01175335159814</v>
      </c>
    </row>
    <row r="13" spans="2:15" ht="18.75" x14ac:dyDescent="0.3">
      <c r="B13" s="33" t="s">
        <v>25</v>
      </c>
      <c r="C13" s="52" t="s">
        <v>92</v>
      </c>
      <c r="D13" s="33" t="s">
        <v>115</v>
      </c>
      <c r="E13" s="34">
        <v>269.25</v>
      </c>
      <c r="F13" s="64"/>
      <c r="G13" s="75">
        <v>1</v>
      </c>
      <c r="H13" s="34">
        <f t="shared" si="1"/>
        <v>269.25</v>
      </c>
      <c r="I13" s="34">
        <v>57.509999999999991</v>
      </c>
      <c r="J13" s="34">
        <v>0.14000000000000001</v>
      </c>
      <c r="K13" s="34">
        <f t="shared" si="4"/>
        <v>57.649999999999991</v>
      </c>
      <c r="L13" s="172">
        <f t="shared" si="2"/>
        <v>211.60000000000002</v>
      </c>
      <c r="M13" s="53">
        <f>+'[2]IMSS INCREMENTO 4%'!$AR$6/2</f>
        <v>346.01175335159814</v>
      </c>
      <c r="N13" s="54">
        <f t="shared" si="3"/>
        <v>346.01175335159814</v>
      </c>
    </row>
    <row r="14" spans="2:15" ht="18.75" x14ac:dyDescent="0.3">
      <c r="B14" s="33" t="s">
        <v>26</v>
      </c>
      <c r="C14" s="61" t="s">
        <v>58</v>
      </c>
      <c r="D14" s="33" t="s">
        <v>37</v>
      </c>
      <c r="E14" s="34">
        <v>286.30000000000018</v>
      </c>
      <c r="F14" s="34"/>
      <c r="G14" s="75">
        <v>1</v>
      </c>
      <c r="H14" s="34">
        <f t="shared" si="1"/>
        <v>286.30000000000018</v>
      </c>
      <c r="I14" s="34">
        <v>61.149999999999977</v>
      </c>
      <c r="J14" s="34">
        <v>-0.05</v>
      </c>
      <c r="K14" s="34">
        <f t="shared" si="4"/>
        <v>61.09999999999998</v>
      </c>
      <c r="L14" s="172">
        <f t="shared" si="2"/>
        <v>225.20000000000022</v>
      </c>
      <c r="M14" s="53">
        <f>+'[2]IMSS INCREMENTO 4%'!$AR$7/2</f>
        <v>364.98521512328773</v>
      </c>
      <c r="N14" s="54">
        <f t="shared" si="3"/>
        <v>364.98521512328773</v>
      </c>
    </row>
    <row r="15" spans="2:15" ht="18.75" x14ac:dyDescent="0.3">
      <c r="B15" s="33" t="s">
        <v>27</v>
      </c>
      <c r="C15" s="61" t="s">
        <v>40</v>
      </c>
      <c r="D15" s="33" t="s">
        <v>117</v>
      </c>
      <c r="E15" s="34">
        <v>189.16499999999996</v>
      </c>
      <c r="F15" s="34"/>
      <c r="G15" s="75">
        <v>1</v>
      </c>
      <c r="H15" s="34">
        <f t="shared" si="1"/>
        <v>189.16499999999996</v>
      </c>
      <c r="I15" s="34">
        <v>33.890000000000043</v>
      </c>
      <c r="J15" s="34">
        <v>-0.12</v>
      </c>
      <c r="K15" s="34">
        <f t="shared" si="4"/>
        <v>33.770000000000046</v>
      </c>
      <c r="L15" s="172">
        <f t="shared" si="2"/>
        <v>155.39499999999992</v>
      </c>
      <c r="M15" s="53">
        <f>+'[2]IMSS INCREMENTO 4%'!$AR$8/2</f>
        <v>321.20030334246576</v>
      </c>
      <c r="N15" s="54">
        <f t="shared" si="3"/>
        <v>321.20030334246576</v>
      </c>
    </row>
    <row r="16" spans="2:15" ht="18.75" x14ac:dyDescent="0.3">
      <c r="B16" s="33" t="s">
        <v>60</v>
      </c>
      <c r="C16" s="61" t="s">
        <v>41</v>
      </c>
      <c r="D16" s="33" t="s">
        <v>118</v>
      </c>
      <c r="E16" s="34">
        <v>189.16499999999996</v>
      </c>
      <c r="F16" s="34"/>
      <c r="G16" s="75">
        <v>1</v>
      </c>
      <c r="H16" s="34">
        <f t="shared" si="1"/>
        <v>189.16499999999996</v>
      </c>
      <c r="I16" s="34">
        <v>33.890000000000043</v>
      </c>
      <c r="J16" s="34">
        <v>0.08</v>
      </c>
      <c r="K16" s="34">
        <f t="shared" si="4"/>
        <v>33.970000000000041</v>
      </c>
      <c r="L16" s="172">
        <f t="shared" si="2"/>
        <v>155.19499999999994</v>
      </c>
      <c r="M16" s="53">
        <f>+'[2]IMSS INCREMENTO 4%'!$AR$9/2</f>
        <v>321.20030334246576</v>
      </c>
      <c r="N16" s="54">
        <f t="shared" si="3"/>
        <v>321.20030334246576</v>
      </c>
    </row>
    <row r="17" spans="2:14" ht="18.75" x14ac:dyDescent="0.3">
      <c r="B17" s="33" t="s">
        <v>61</v>
      </c>
      <c r="C17" s="61" t="s">
        <v>43</v>
      </c>
      <c r="D17" s="33" t="s">
        <v>3</v>
      </c>
      <c r="E17" s="34">
        <v>167.61999999999989</v>
      </c>
      <c r="F17" s="34"/>
      <c r="G17" s="75">
        <v>1</v>
      </c>
      <c r="H17" s="34">
        <f t="shared" si="1"/>
        <v>167.61999999999989</v>
      </c>
      <c r="I17" s="34">
        <v>29</v>
      </c>
      <c r="J17" s="34">
        <v>0.02</v>
      </c>
      <c r="K17" s="34">
        <f t="shared" si="4"/>
        <v>29.02</v>
      </c>
      <c r="L17" s="172">
        <f t="shared" si="2"/>
        <v>138.59999999999988</v>
      </c>
      <c r="M17" s="53">
        <f>+'[2]IMSS INCREMENTO 4%'!$AR$10/2</f>
        <v>268.65840920547942</v>
      </c>
      <c r="N17" s="54">
        <f t="shared" si="3"/>
        <v>268.65840920547942</v>
      </c>
    </row>
    <row r="18" spans="2:14" ht="18.75" x14ac:dyDescent="0.3">
      <c r="B18" s="33" t="s">
        <v>62</v>
      </c>
      <c r="C18" s="61" t="s">
        <v>42</v>
      </c>
      <c r="D18" s="33" t="s">
        <v>119</v>
      </c>
      <c r="E18" s="34">
        <v>189.16499999999996</v>
      </c>
      <c r="F18" s="55"/>
      <c r="G18" s="75">
        <v>1</v>
      </c>
      <c r="H18" s="34">
        <f t="shared" si="1"/>
        <v>189.16499999999996</v>
      </c>
      <c r="I18" s="34">
        <v>33.890000000000043</v>
      </c>
      <c r="J18" s="34">
        <v>-0.12</v>
      </c>
      <c r="K18" s="34">
        <f t="shared" si="4"/>
        <v>33.770000000000046</v>
      </c>
      <c r="L18" s="172">
        <f t="shared" si="2"/>
        <v>155.39499999999992</v>
      </c>
      <c r="M18" s="53">
        <f>+'[2]IMSS INCREMENTO 4%'!$AR$11/2</f>
        <v>281.79388273972603</v>
      </c>
      <c r="N18" s="54">
        <f t="shared" si="3"/>
        <v>281.79388273972603</v>
      </c>
    </row>
    <row r="19" spans="2:14" ht="18.75" x14ac:dyDescent="0.3">
      <c r="B19" s="63" t="s">
        <v>20</v>
      </c>
      <c r="C19" s="57"/>
      <c r="D19" s="58"/>
      <c r="E19" s="59">
        <f>SUM(E11:E18)</f>
        <v>2059.915</v>
      </c>
      <c r="F19" s="59"/>
      <c r="G19" s="76"/>
      <c r="H19" s="59">
        <f t="shared" ref="H19:N19" si="5">SUM(H11:H18)</f>
        <v>2059.915</v>
      </c>
      <c r="I19" s="59">
        <f>SUM(I11:I18)</f>
        <v>424.42999999999978</v>
      </c>
      <c r="J19" s="59">
        <f t="shared" si="5"/>
        <v>-9.9999999999999964E-2</v>
      </c>
      <c r="K19" s="59">
        <f t="shared" si="5"/>
        <v>424.3299999999997</v>
      </c>
      <c r="L19" s="60">
        <f>SUM(L11:L18)</f>
        <v>1635.5850000000003</v>
      </c>
      <c r="M19" s="59">
        <f t="shared" si="5"/>
        <v>2731.6066003287674</v>
      </c>
      <c r="N19" s="59">
        <f t="shared" si="5"/>
        <v>2731.6066003287674</v>
      </c>
    </row>
    <row r="20" spans="2:14" ht="18.75" hidden="1" x14ac:dyDescent="0.3">
      <c r="B20" s="63"/>
      <c r="C20" s="61"/>
      <c r="E20" s="34"/>
      <c r="F20" s="34"/>
      <c r="G20" s="77"/>
      <c r="H20" s="34"/>
      <c r="I20" s="34"/>
      <c r="J20" s="34"/>
      <c r="K20" s="34"/>
      <c r="L20" s="62"/>
    </row>
    <row r="21" spans="2:14" ht="18.75" x14ac:dyDescent="0.3">
      <c r="B21" s="63" t="s">
        <v>31</v>
      </c>
      <c r="C21" s="57" t="s">
        <v>83</v>
      </c>
      <c r="E21" s="34"/>
      <c r="F21" s="34"/>
      <c r="G21" s="77"/>
      <c r="H21" s="65"/>
      <c r="I21" s="34"/>
      <c r="J21" s="34"/>
      <c r="K21" s="34"/>
      <c r="L21" s="62"/>
    </row>
    <row r="22" spans="2:14" ht="18.75" x14ac:dyDescent="0.3">
      <c r="B22" s="33" t="s">
        <v>63</v>
      </c>
      <c r="C22" s="61" t="s">
        <v>110</v>
      </c>
      <c r="D22" s="33" t="s">
        <v>120</v>
      </c>
      <c r="E22" s="34">
        <v>269.25</v>
      </c>
      <c r="F22" s="34"/>
      <c r="G22" s="75">
        <v>1</v>
      </c>
      <c r="H22" s="34">
        <f>E22*G22</f>
        <v>269.25</v>
      </c>
      <c r="I22" s="34">
        <v>57.509999999999991</v>
      </c>
      <c r="J22" s="34">
        <v>0.14000000000000001</v>
      </c>
      <c r="K22" s="34">
        <f>+I22+J22</f>
        <v>57.649999999999991</v>
      </c>
      <c r="L22" s="172">
        <f>H22-K22</f>
        <v>211.60000000000002</v>
      </c>
      <c r="M22" s="53">
        <f>+'[2]IMSS INCREMENTO 4%'!$AR$29/2</f>
        <v>340.00536160730593</v>
      </c>
      <c r="N22" s="54">
        <f>SUM(M22:M22)</f>
        <v>340.00536160730593</v>
      </c>
    </row>
    <row r="23" spans="2:14" ht="18.75" x14ac:dyDescent="0.3">
      <c r="B23" s="33" t="s">
        <v>112</v>
      </c>
      <c r="C23" s="61" t="s">
        <v>113</v>
      </c>
      <c r="D23" s="33" t="s">
        <v>121</v>
      </c>
      <c r="E23" s="34">
        <v>269.25</v>
      </c>
      <c r="F23" s="34"/>
      <c r="G23" s="75">
        <v>1</v>
      </c>
      <c r="H23" s="34">
        <f>E23*G23</f>
        <v>269.25</v>
      </c>
      <c r="I23" s="34">
        <v>57.509999999999991</v>
      </c>
      <c r="J23" s="34">
        <v>0.14000000000000001</v>
      </c>
      <c r="K23" s="34">
        <f t="shared" ref="K23:K25" si="6">+I23+J23</f>
        <v>57.649999999999991</v>
      </c>
      <c r="L23" s="172">
        <f>H23-K23</f>
        <v>211.60000000000002</v>
      </c>
      <c r="M23" s="53">
        <f>+'[2]IMSS INCREMENTO 4%'!$AR$29/2</f>
        <v>340.00536160730593</v>
      </c>
      <c r="N23" s="54">
        <f>SUM(M23:M23)</f>
        <v>340.00536160730593</v>
      </c>
    </row>
    <row r="24" spans="2:14" ht="18.75" x14ac:dyDescent="0.3">
      <c r="B24" s="33" t="s">
        <v>64</v>
      </c>
      <c r="C24" s="61" t="s">
        <v>45</v>
      </c>
      <c r="D24" s="33" t="s">
        <v>122</v>
      </c>
      <c r="E24" s="34">
        <v>269.25</v>
      </c>
      <c r="F24" s="34"/>
      <c r="G24" s="75">
        <v>1</v>
      </c>
      <c r="H24" s="34">
        <f>E24*G24</f>
        <v>269.25</v>
      </c>
      <c r="I24" s="34">
        <v>57.51</v>
      </c>
      <c r="J24" s="34">
        <v>-0.06</v>
      </c>
      <c r="K24" s="34">
        <f t="shared" si="6"/>
        <v>57.449999999999996</v>
      </c>
      <c r="L24" s="172">
        <f>H24-K24</f>
        <v>211.8</v>
      </c>
      <c r="M24" s="53">
        <f>+'[2]IMSS INCREMENTO 4%'!$AR$14/2</f>
        <v>346.01175335159814</v>
      </c>
      <c r="N24" s="54">
        <f>SUM(M24:M24)</f>
        <v>346.01175335159814</v>
      </c>
    </row>
    <row r="25" spans="2:14" ht="18.75" x14ac:dyDescent="0.3">
      <c r="B25" s="33" t="s">
        <v>65</v>
      </c>
      <c r="C25" s="61" t="s">
        <v>59</v>
      </c>
      <c r="D25" s="33" t="s">
        <v>121</v>
      </c>
      <c r="E25" s="34">
        <v>269.25</v>
      </c>
      <c r="F25" s="55"/>
      <c r="G25" s="75">
        <v>1</v>
      </c>
      <c r="H25" s="34">
        <f>E25*G25</f>
        <v>269.25</v>
      </c>
      <c r="I25" s="34">
        <v>57.51</v>
      </c>
      <c r="J25" s="34">
        <v>-0.06</v>
      </c>
      <c r="K25" s="34">
        <f t="shared" si="6"/>
        <v>57.449999999999996</v>
      </c>
      <c r="L25" s="172">
        <f>H25-K25</f>
        <v>211.8</v>
      </c>
      <c r="M25" s="53">
        <f>+'[2]IMSS INCREMENTO 4%'!$AR$15/2</f>
        <v>346.01175335159814</v>
      </c>
      <c r="N25" s="54">
        <f>SUM(M25:M25)</f>
        <v>346.01175335159814</v>
      </c>
    </row>
    <row r="26" spans="2:14" ht="18.75" x14ac:dyDescent="0.3">
      <c r="B26" s="63" t="s">
        <v>20</v>
      </c>
      <c r="C26" s="57"/>
      <c r="D26" s="58"/>
      <c r="E26" s="59">
        <f>SUM(E22:E25)</f>
        <v>1077</v>
      </c>
      <c r="F26" s="59"/>
      <c r="G26" s="76"/>
      <c r="H26" s="59">
        <f t="shared" ref="H26" si="7">SUM(H22:H25)</f>
        <v>1077</v>
      </c>
      <c r="I26" s="59">
        <f>SUM(I22:I25)</f>
        <v>230.03999999999996</v>
      </c>
      <c r="J26" s="59">
        <f t="shared" ref="J26:K26" si="8">SUM(J22:J25)</f>
        <v>0.16000000000000003</v>
      </c>
      <c r="K26" s="59">
        <f t="shared" si="8"/>
        <v>230.19999999999996</v>
      </c>
      <c r="L26" s="60">
        <f>SUM(L22:L25)</f>
        <v>846.8</v>
      </c>
      <c r="M26" s="59">
        <f>SUM(M22:M25)</f>
        <v>1372.0342299178083</v>
      </c>
      <c r="N26" s="59">
        <f>SUM(N22:N25)</f>
        <v>1372.0342299178083</v>
      </c>
    </row>
    <row r="27" spans="2:14" ht="18.75" hidden="1" x14ac:dyDescent="0.3">
      <c r="C27" s="61"/>
      <c r="E27" s="34"/>
      <c r="F27" s="34"/>
      <c r="G27" s="77"/>
      <c r="H27" s="34"/>
      <c r="I27" s="34"/>
      <c r="J27" s="34"/>
      <c r="K27" s="34"/>
      <c r="L27" s="62"/>
    </row>
    <row r="28" spans="2:14" ht="18.75" x14ac:dyDescent="0.3">
      <c r="B28" s="63" t="s">
        <v>33</v>
      </c>
      <c r="C28" s="57" t="s">
        <v>32</v>
      </c>
      <c r="E28" s="34"/>
      <c r="F28" s="34"/>
      <c r="G28" s="77"/>
      <c r="H28" s="34"/>
      <c r="I28" s="34"/>
      <c r="J28" s="34"/>
      <c r="K28" s="34"/>
      <c r="L28" s="62"/>
    </row>
    <row r="29" spans="2:14" ht="18.75" x14ac:dyDescent="0.3">
      <c r="B29" s="33" t="s">
        <v>66</v>
      </c>
      <c r="C29" s="182" t="s">
        <v>49</v>
      </c>
      <c r="D29" s="33" t="s">
        <v>38</v>
      </c>
      <c r="E29" s="34">
        <v>269.25</v>
      </c>
      <c r="F29" s="34"/>
      <c r="G29" s="75">
        <v>1</v>
      </c>
      <c r="H29" s="34">
        <f t="shared" ref="H29:H39" si="9">E29*G29</f>
        <v>269.25</v>
      </c>
      <c r="I29" s="34">
        <v>57.51</v>
      </c>
      <c r="J29" s="34">
        <v>-0.06</v>
      </c>
      <c r="K29" s="34">
        <f>+I29+J29</f>
        <v>57.449999999999996</v>
      </c>
      <c r="L29" s="172">
        <f t="shared" ref="L29:L39" si="10">H29-K29</f>
        <v>211.8</v>
      </c>
      <c r="M29" s="53">
        <f>+'[2]IMSS INCREMENTO 4%'!$AR$16/2</f>
        <v>346.01175335159814</v>
      </c>
      <c r="N29" s="54">
        <f t="shared" ref="N29:N39" si="11">SUM(M29:M29)</f>
        <v>346.01175335159814</v>
      </c>
    </row>
    <row r="30" spans="2:14" ht="18.75" x14ac:dyDescent="0.3">
      <c r="B30" s="33" t="s">
        <v>67</v>
      </c>
      <c r="C30" s="61" t="s">
        <v>51</v>
      </c>
      <c r="D30" s="33" t="s">
        <v>38</v>
      </c>
      <c r="E30" s="34">
        <v>269.25</v>
      </c>
      <c r="F30" s="34"/>
      <c r="G30" s="75">
        <v>1</v>
      </c>
      <c r="H30" s="34">
        <f t="shared" si="9"/>
        <v>269.25</v>
      </c>
      <c r="I30" s="34">
        <v>57.51</v>
      </c>
      <c r="J30" s="34">
        <v>-0.06</v>
      </c>
      <c r="K30" s="34">
        <f t="shared" ref="K30:K39" si="12">+I30+J30</f>
        <v>57.449999999999996</v>
      </c>
      <c r="L30" s="172">
        <f t="shared" si="10"/>
        <v>211.8</v>
      </c>
      <c r="M30" s="53">
        <f>+'[2]IMSS INCREMENTO 4%'!$AR$17/2</f>
        <v>346.01175335159814</v>
      </c>
      <c r="N30" s="54">
        <f t="shared" si="11"/>
        <v>346.01175335159814</v>
      </c>
    </row>
    <row r="31" spans="2:14" ht="18.75" x14ac:dyDescent="0.3">
      <c r="B31" s="33" t="s">
        <v>68</v>
      </c>
      <c r="C31" s="61" t="s">
        <v>48</v>
      </c>
      <c r="D31" s="33" t="s">
        <v>123</v>
      </c>
      <c r="E31" s="34">
        <v>286.30000000000018</v>
      </c>
      <c r="F31" s="34"/>
      <c r="G31" s="75">
        <v>1</v>
      </c>
      <c r="H31" s="34">
        <f t="shared" si="9"/>
        <v>286.30000000000018</v>
      </c>
      <c r="I31" s="34">
        <v>61.149999999999977</v>
      </c>
      <c r="J31" s="34">
        <v>0.15</v>
      </c>
      <c r="K31" s="34">
        <f t="shared" si="12"/>
        <v>61.299999999999976</v>
      </c>
      <c r="L31" s="172">
        <f t="shared" si="10"/>
        <v>225.0000000000002</v>
      </c>
      <c r="M31" s="53">
        <f>+'[2]IMSS INCREMENTO 4%'!$AR$18/2</f>
        <v>364.98521512328773</v>
      </c>
      <c r="N31" s="54">
        <f t="shared" si="11"/>
        <v>364.98521512328773</v>
      </c>
    </row>
    <row r="32" spans="2:14" ht="18.75" x14ac:dyDescent="0.3">
      <c r="B32" s="33" t="s">
        <v>77</v>
      </c>
      <c r="C32" s="61" t="s">
        <v>111</v>
      </c>
      <c r="D32" s="33" t="s">
        <v>127</v>
      </c>
      <c r="E32" s="34">
        <v>269.25</v>
      </c>
      <c r="F32" s="34"/>
      <c r="G32" s="75">
        <v>1</v>
      </c>
      <c r="H32" s="34">
        <f t="shared" si="9"/>
        <v>269.25</v>
      </c>
      <c r="I32" s="34">
        <v>57.51</v>
      </c>
      <c r="J32" s="34">
        <v>-0.06</v>
      </c>
      <c r="K32" s="34">
        <f t="shared" si="12"/>
        <v>57.449999999999996</v>
      </c>
      <c r="L32" s="172">
        <f t="shared" si="10"/>
        <v>211.8</v>
      </c>
      <c r="M32" s="53">
        <f>+'[2]IMSS INCREMENTO 4%'!$AR$29/2</f>
        <v>340.00536160730593</v>
      </c>
      <c r="N32" s="54">
        <f t="shared" si="11"/>
        <v>340.00536160730593</v>
      </c>
    </row>
    <row r="33" spans="2:14" ht="18.75" x14ac:dyDescent="0.3">
      <c r="B33" s="33" t="s">
        <v>70</v>
      </c>
      <c r="C33" s="61" t="s">
        <v>46</v>
      </c>
      <c r="D33" s="33" t="s">
        <v>124</v>
      </c>
      <c r="E33" s="34">
        <v>269.25</v>
      </c>
      <c r="F33" s="34"/>
      <c r="G33" s="75">
        <v>1</v>
      </c>
      <c r="H33" s="34">
        <f t="shared" si="9"/>
        <v>269.25</v>
      </c>
      <c r="I33" s="34">
        <v>57.51</v>
      </c>
      <c r="J33" s="34">
        <v>0.14000000000000001</v>
      </c>
      <c r="K33" s="34">
        <f t="shared" si="12"/>
        <v>57.65</v>
      </c>
      <c r="L33" s="172">
        <f t="shared" si="10"/>
        <v>211.6</v>
      </c>
      <c r="M33" s="53">
        <f>+'[2]IMSS INCREMENTO 4%'!$AR$20/2</f>
        <v>346.01175335159814</v>
      </c>
      <c r="N33" s="54">
        <f t="shared" si="11"/>
        <v>346.01175335159814</v>
      </c>
    </row>
    <row r="34" spans="2:14" ht="18.75" x14ac:dyDescent="0.3">
      <c r="B34" s="33" t="s">
        <v>71</v>
      </c>
      <c r="C34" s="61" t="s">
        <v>50</v>
      </c>
      <c r="D34" s="33" t="s">
        <v>124</v>
      </c>
      <c r="E34" s="34">
        <v>269.25</v>
      </c>
      <c r="F34" s="64"/>
      <c r="G34" s="75">
        <v>1</v>
      </c>
      <c r="H34" s="34">
        <f t="shared" si="9"/>
        <v>269.25</v>
      </c>
      <c r="I34" s="34">
        <v>57.51</v>
      </c>
      <c r="J34" s="34">
        <v>-0.06</v>
      </c>
      <c r="K34" s="34">
        <f t="shared" si="12"/>
        <v>57.449999999999996</v>
      </c>
      <c r="L34" s="172">
        <f t="shared" si="10"/>
        <v>211.8</v>
      </c>
      <c r="M34" s="53">
        <f>+'[2]IMSS INCREMENTO 4%'!$AR$21/2</f>
        <v>346.01175335159814</v>
      </c>
      <c r="N34" s="54">
        <f t="shared" si="11"/>
        <v>346.01175335159814</v>
      </c>
    </row>
    <row r="35" spans="2:14" ht="18.75" x14ac:dyDescent="0.3">
      <c r="B35" s="33" t="s">
        <v>72</v>
      </c>
      <c r="C35" s="61" t="s">
        <v>52</v>
      </c>
      <c r="D35" s="33" t="s">
        <v>124</v>
      </c>
      <c r="E35" s="34">
        <v>269.25</v>
      </c>
      <c r="F35" s="34"/>
      <c r="G35" s="75">
        <v>1</v>
      </c>
      <c r="H35" s="34">
        <f t="shared" si="9"/>
        <v>269.25</v>
      </c>
      <c r="I35" s="34">
        <v>57.51</v>
      </c>
      <c r="J35" s="34">
        <v>0.14000000000000001</v>
      </c>
      <c r="K35" s="34">
        <f t="shared" si="12"/>
        <v>57.65</v>
      </c>
      <c r="L35" s="172">
        <f t="shared" si="10"/>
        <v>211.6</v>
      </c>
      <c r="M35" s="53">
        <f>+'[2]IMSS INCREMENTO 4%'!$AR$22/2</f>
        <v>346.01175335159814</v>
      </c>
      <c r="N35" s="54">
        <f t="shared" si="11"/>
        <v>346.01175335159814</v>
      </c>
    </row>
    <row r="36" spans="2:14" ht="18.75" x14ac:dyDescent="0.3">
      <c r="B36" s="33" t="s">
        <v>73</v>
      </c>
      <c r="C36" s="61" t="s">
        <v>47</v>
      </c>
      <c r="D36" s="33" t="s">
        <v>125</v>
      </c>
      <c r="E36" s="34">
        <v>269.25</v>
      </c>
      <c r="F36" s="34"/>
      <c r="G36" s="75">
        <v>1</v>
      </c>
      <c r="H36" s="34">
        <f t="shared" si="9"/>
        <v>269.25</v>
      </c>
      <c r="I36" s="34">
        <v>57.51</v>
      </c>
      <c r="J36" s="34">
        <v>0.14000000000000001</v>
      </c>
      <c r="K36" s="34">
        <f t="shared" si="12"/>
        <v>57.65</v>
      </c>
      <c r="L36" s="172">
        <f t="shared" si="10"/>
        <v>211.6</v>
      </c>
      <c r="M36" s="53">
        <f>+'[2]IMSS INCREMENTO 4%'!$AR$23/2</f>
        <v>346.01175335159814</v>
      </c>
      <c r="N36" s="54">
        <f t="shared" si="11"/>
        <v>346.01175335159814</v>
      </c>
    </row>
    <row r="37" spans="2:14" ht="18.75" x14ac:dyDescent="0.3">
      <c r="B37" s="33" t="s">
        <v>74</v>
      </c>
      <c r="C37" s="61" t="s">
        <v>53</v>
      </c>
      <c r="D37" s="33" t="s">
        <v>125</v>
      </c>
      <c r="E37" s="34">
        <v>269.25</v>
      </c>
      <c r="F37" s="34"/>
      <c r="G37" s="75">
        <v>1</v>
      </c>
      <c r="H37" s="34">
        <f t="shared" si="9"/>
        <v>269.25</v>
      </c>
      <c r="I37" s="34">
        <v>57.51</v>
      </c>
      <c r="J37" s="34">
        <v>-0.06</v>
      </c>
      <c r="K37" s="34">
        <f t="shared" si="12"/>
        <v>57.449999999999996</v>
      </c>
      <c r="L37" s="172">
        <f t="shared" si="10"/>
        <v>211.8</v>
      </c>
      <c r="M37" s="53">
        <f>+'[2]IMSS INCREMENTO 4%'!$AR$24/2</f>
        <v>346.01175335159814</v>
      </c>
      <c r="N37" s="54">
        <f t="shared" si="11"/>
        <v>346.01175335159814</v>
      </c>
    </row>
    <row r="38" spans="2:14" ht="18.75" x14ac:dyDescent="0.3">
      <c r="B38" s="33" t="s">
        <v>75</v>
      </c>
      <c r="C38" s="61" t="s">
        <v>39</v>
      </c>
      <c r="D38" s="33" t="s">
        <v>126</v>
      </c>
      <c r="E38" s="34">
        <v>269.25</v>
      </c>
      <c r="F38" s="34"/>
      <c r="G38" s="75">
        <v>1</v>
      </c>
      <c r="H38" s="34">
        <f t="shared" si="9"/>
        <v>269.25</v>
      </c>
      <c r="I38" s="34">
        <v>57.51</v>
      </c>
      <c r="J38" s="34">
        <v>-0.06</v>
      </c>
      <c r="K38" s="34">
        <f t="shared" si="12"/>
        <v>57.449999999999996</v>
      </c>
      <c r="L38" s="172">
        <f t="shared" si="10"/>
        <v>211.8</v>
      </c>
      <c r="M38" s="53">
        <f>+'[2]IMSS INCREMENTO 4%'!$AR$25/2</f>
        <v>346.01175335159814</v>
      </c>
      <c r="N38" s="54">
        <f t="shared" si="11"/>
        <v>346.01175335159814</v>
      </c>
    </row>
    <row r="39" spans="2:14" ht="18.75" x14ac:dyDescent="0.3">
      <c r="B39" s="33" t="s">
        <v>76</v>
      </c>
      <c r="C39" s="61" t="s">
        <v>54</v>
      </c>
      <c r="D39" s="33" t="s">
        <v>126</v>
      </c>
      <c r="E39" s="34">
        <v>269.25</v>
      </c>
      <c r="F39" s="34"/>
      <c r="G39" s="75">
        <v>1</v>
      </c>
      <c r="H39" s="34">
        <f t="shared" si="9"/>
        <v>269.25</v>
      </c>
      <c r="I39" s="34">
        <v>57.51</v>
      </c>
      <c r="J39" s="34">
        <v>0.14000000000000001</v>
      </c>
      <c r="K39" s="34">
        <f t="shared" si="12"/>
        <v>57.65</v>
      </c>
      <c r="L39" s="172">
        <f t="shared" si="10"/>
        <v>211.6</v>
      </c>
      <c r="M39" s="53">
        <f>+'[2]IMSS INCREMENTO 4%'!$AR$26/2</f>
        <v>346.01175335159814</v>
      </c>
      <c r="N39" s="54">
        <f t="shared" si="11"/>
        <v>346.01175335159814</v>
      </c>
    </row>
    <row r="40" spans="2:14" ht="18.75" x14ac:dyDescent="0.3">
      <c r="B40" s="63" t="s">
        <v>20</v>
      </c>
      <c r="C40" s="57"/>
      <c r="D40" s="58"/>
      <c r="E40" s="59">
        <f>SUM(E29:E39)</f>
        <v>2978.8</v>
      </c>
      <c r="F40" s="59"/>
      <c r="G40" s="76">
        <f>SUM(G29:G39)</f>
        <v>11</v>
      </c>
      <c r="H40" s="59">
        <f>SUM(H29:H39)</f>
        <v>2978.8</v>
      </c>
      <c r="I40" s="59">
        <f>SUM(I29:I39)</f>
        <v>636.24999999999989</v>
      </c>
      <c r="J40" s="59">
        <f t="shared" ref="J40:N40" si="13">SUM(J29:J39)</f>
        <v>0.35000000000000009</v>
      </c>
      <c r="K40" s="59">
        <f t="shared" si="13"/>
        <v>636.59999999999991</v>
      </c>
      <c r="L40" s="60">
        <f t="shared" si="13"/>
        <v>2342.1999999999998</v>
      </c>
      <c r="M40" s="59">
        <f t="shared" si="13"/>
        <v>3819.0963568949769</v>
      </c>
      <c r="N40" s="59">
        <f t="shared" si="13"/>
        <v>3819.0963568949769</v>
      </c>
    </row>
    <row r="41" spans="2:14" ht="18.75" hidden="1" x14ac:dyDescent="0.3">
      <c r="C41" s="61"/>
      <c r="E41" s="34"/>
      <c r="F41" s="34"/>
      <c r="G41" s="77"/>
      <c r="H41" s="34"/>
      <c r="I41" s="34"/>
      <c r="J41" s="34"/>
      <c r="K41" s="34"/>
      <c r="L41" s="62"/>
    </row>
    <row r="42" spans="2:14" ht="18.75" x14ac:dyDescent="0.3">
      <c r="B42" s="63" t="s">
        <v>78</v>
      </c>
      <c r="C42" s="57" t="s">
        <v>34</v>
      </c>
      <c r="E42" s="34"/>
      <c r="F42" s="34"/>
      <c r="G42" s="77"/>
      <c r="H42" s="34"/>
      <c r="I42" s="34"/>
      <c r="J42" s="34"/>
      <c r="K42" s="34"/>
      <c r="L42" s="62"/>
    </row>
    <row r="43" spans="2:14" ht="18.75" x14ac:dyDescent="0.3">
      <c r="B43" s="33" t="s">
        <v>69</v>
      </c>
      <c r="C43" s="61" t="s">
        <v>55</v>
      </c>
      <c r="D43" s="33" t="s">
        <v>130</v>
      </c>
      <c r="E43" s="34">
        <v>286.30000000000018</v>
      </c>
      <c r="F43" s="34"/>
      <c r="G43" s="75">
        <v>1</v>
      </c>
      <c r="H43" s="34">
        <f>E43*G43</f>
        <v>286.30000000000018</v>
      </c>
      <c r="I43" s="34">
        <v>61.149999999999977</v>
      </c>
      <c r="J43" s="34">
        <v>0.15</v>
      </c>
      <c r="K43" s="34">
        <f t="shared" ref="K43:K45" si="14">+I43+J43</f>
        <v>61.299999999999976</v>
      </c>
      <c r="L43" s="172">
        <f>H43-K43</f>
        <v>225.0000000000002</v>
      </c>
      <c r="M43" s="53">
        <f>+'[2]IMSS INCREMENTO 4%'!$AR$18/2</f>
        <v>364.98521512328773</v>
      </c>
      <c r="N43" s="54">
        <f>SUM(M43:M43)</f>
        <v>364.98521512328773</v>
      </c>
    </row>
    <row r="44" spans="2:14" ht="18.75" x14ac:dyDescent="0.3">
      <c r="B44" s="33" t="s">
        <v>81</v>
      </c>
      <c r="C44" s="61" t="s">
        <v>44</v>
      </c>
      <c r="D44" s="33" t="s">
        <v>128</v>
      </c>
      <c r="E44" s="34">
        <v>269.25</v>
      </c>
      <c r="F44" s="34"/>
      <c r="G44" s="75">
        <v>1</v>
      </c>
      <c r="H44" s="34">
        <f>E44*G44</f>
        <v>269.25</v>
      </c>
      <c r="I44" s="34">
        <v>57.51</v>
      </c>
      <c r="J44" s="34">
        <v>0.14000000000000001</v>
      </c>
      <c r="K44" s="34">
        <f t="shared" si="14"/>
        <v>57.65</v>
      </c>
      <c r="L44" s="172">
        <f>H44-K44</f>
        <v>211.6</v>
      </c>
      <c r="M44" s="53">
        <f>+'[2]IMSS INCREMENTO 4%'!$AR$28/2</f>
        <v>346.01175335159814</v>
      </c>
      <c r="N44" s="54">
        <f>SUM(M44:M44)</f>
        <v>346.01175335159814</v>
      </c>
    </row>
    <row r="45" spans="2:14" ht="18.75" x14ac:dyDescent="0.3">
      <c r="B45" s="33" t="s">
        <v>107</v>
      </c>
      <c r="C45" s="61" t="s">
        <v>108</v>
      </c>
      <c r="D45" s="33" t="s">
        <v>109</v>
      </c>
      <c r="E45" s="34">
        <v>269.25</v>
      </c>
      <c r="F45" s="34"/>
      <c r="G45" s="75">
        <v>1</v>
      </c>
      <c r="H45" s="34">
        <f>E45*G45</f>
        <v>269.25</v>
      </c>
      <c r="I45" s="34">
        <v>57.51</v>
      </c>
      <c r="J45" s="34">
        <v>-0.06</v>
      </c>
      <c r="K45" s="34">
        <f t="shared" si="14"/>
        <v>57.449999999999996</v>
      </c>
      <c r="L45" s="172">
        <f>H45-K45</f>
        <v>211.8</v>
      </c>
      <c r="M45" s="53">
        <f>+'[2]IMSS INCREMENTO 4%'!$AR$29/2</f>
        <v>340.00536160730593</v>
      </c>
      <c r="N45" s="54">
        <f>SUM(M45:M45)</f>
        <v>340.00536160730593</v>
      </c>
    </row>
    <row r="46" spans="2:14" ht="18.75" x14ac:dyDescent="0.3">
      <c r="B46" s="63" t="s">
        <v>20</v>
      </c>
      <c r="C46" s="57"/>
      <c r="D46" s="58"/>
      <c r="E46" s="59">
        <f>E43+E44+E45</f>
        <v>824.80000000000018</v>
      </c>
      <c r="F46" s="59">
        <f t="shared" ref="F46:N46" si="15">F43+F44+F45</f>
        <v>0</v>
      </c>
      <c r="G46" s="76"/>
      <c r="H46" s="59">
        <f>H43+H44+H45</f>
        <v>824.80000000000018</v>
      </c>
      <c r="I46" s="59">
        <f t="shared" si="15"/>
        <v>176.16999999999996</v>
      </c>
      <c r="J46" s="59">
        <f t="shared" si="15"/>
        <v>0.23000000000000004</v>
      </c>
      <c r="K46" s="59">
        <f t="shared" si="15"/>
        <v>176.39999999999998</v>
      </c>
      <c r="L46" s="60">
        <f t="shared" si="15"/>
        <v>648.4000000000002</v>
      </c>
      <c r="M46" s="59">
        <f t="shared" si="15"/>
        <v>1051.0023300821917</v>
      </c>
      <c r="N46" s="59">
        <f t="shared" si="15"/>
        <v>1051.0023300821917</v>
      </c>
    </row>
    <row r="47" spans="2:14" ht="18.75" hidden="1" x14ac:dyDescent="0.3">
      <c r="B47" s="63"/>
      <c r="C47" s="61"/>
      <c r="E47" s="34"/>
      <c r="F47" s="34"/>
      <c r="G47" s="77"/>
      <c r="H47" s="66"/>
      <c r="I47" s="66"/>
      <c r="J47" s="66"/>
      <c r="K47" s="66"/>
      <c r="L47" s="67"/>
      <c r="M47" s="68"/>
      <c r="N47" s="68"/>
    </row>
    <row r="48" spans="2:14" ht="18.75" x14ac:dyDescent="0.3">
      <c r="B48" s="63" t="s">
        <v>84</v>
      </c>
      <c r="C48" s="57" t="s">
        <v>85</v>
      </c>
      <c r="E48" s="34"/>
      <c r="F48" s="34"/>
      <c r="G48" s="77"/>
      <c r="H48" s="66"/>
      <c r="I48" s="66"/>
      <c r="J48" s="66"/>
      <c r="K48" s="66"/>
      <c r="L48" s="67"/>
      <c r="M48" s="68"/>
      <c r="N48" s="68"/>
    </row>
    <row r="49" spans="2:14" ht="18.75" x14ac:dyDescent="0.3">
      <c r="B49" s="33" t="s">
        <v>86</v>
      </c>
      <c r="C49" s="52" t="s">
        <v>30</v>
      </c>
      <c r="D49" s="33" t="s">
        <v>114</v>
      </c>
      <c r="E49" s="34">
        <v>500</v>
      </c>
      <c r="F49" s="34"/>
      <c r="G49" s="75">
        <v>1</v>
      </c>
      <c r="H49" s="34">
        <f>E49*G49</f>
        <v>500</v>
      </c>
      <c r="I49" s="34">
        <v>117.58999999999969</v>
      </c>
      <c r="J49" s="34">
        <v>0.01</v>
      </c>
      <c r="K49" s="34">
        <f t="shared" ref="K49" si="16">+I49+J49</f>
        <v>117.5999999999997</v>
      </c>
      <c r="L49" s="172">
        <f>H49-K49</f>
        <v>382.40000000000032</v>
      </c>
      <c r="M49" s="53">
        <f>+'[2]IMSS INCREMENTO 4%'!$AR$30/2</f>
        <v>481.74497987214613</v>
      </c>
      <c r="N49" s="54">
        <f>SUM(M49:M49)</f>
        <v>481.74497987214613</v>
      </c>
    </row>
    <row r="50" spans="2:14" ht="18.75" x14ac:dyDescent="0.3">
      <c r="B50" s="63" t="s">
        <v>20</v>
      </c>
      <c r="E50" s="59">
        <f>E49</f>
        <v>500</v>
      </c>
      <c r="F50" s="59"/>
      <c r="G50" s="76"/>
      <c r="H50" s="59">
        <f>H49</f>
        <v>500</v>
      </c>
      <c r="I50" s="59">
        <f t="shared" ref="I50:N50" si="17">I49</f>
        <v>117.58999999999969</v>
      </c>
      <c r="J50" s="59">
        <f t="shared" si="17"/>
        <v>0.01</v>
      </c>
      <c r="K50" s="59">
        <f t="shared" si="17"/>
        <v>117.5999999999997</v>
      </c>
      <c r="L50" s="60">
        <f>L49</f>
        <v>382.40000000000032</v>
      </c>
      <c r="M50" s="59">
        <f t="shared" si="17"/>
        <v>481.74497987214613</v>
      </c>
      <c r="N50" s="59">
        <f t="shared" si="17"/>
        <v>481.74497987214613</v>
      </c>
    </row>
    <row r="51" spans="2:14" ht="12" customHeight="1" x14ac:dyDescent="0.3">
      <c r="B51" s="63"/>
      <c r="E51" s="34"/>
      <c r="F51" s="34"/>
      <c r="G51" s="34"/>
      <c r="H51" s="66"/>
      <c r="I51" s="66"/>
      <c r="J51" s="66"/>
      <c r="K51" s="66"/>
      <c r="L51" s="67"/>
      <c r="M51" s="68"/>
      <c r="N51" s="68"/>
    </row>
    <row r="52" spans="2:14" ht="18.75" hidden="1" x14ac:dyDescent="0.3">
      <c r="L52" s="69"/>
    </row>
    <row r="53" spans="2:14" ht="18.75" x14ac:dyDescent="0.3">
      <c r="C53" s="70" t="s">
        <v>56</v>
      </c>
      <c r="E53" s="71">
        <f>E8+E19+E26+E40+E46+E50</f>
        <v>8429.3100000000031</v>
      </c>
      <c r="F53" s="71"/>
      <c r="G53" s="71"/>
      <c r="H53" s="71">
        <f t="shared" ref="H53:N53" si="18">H8+H19+H26+H40+H46+H50</f>
        <v>8429.3100000000031</v>
      </c>
      <c r="I53" s="71">
        <f t="shared" si="18"/>
        <v>1860.3599999999992</v>
      </c>
      <c r="J53" s="71">
        <f t="shared" si="18"/>
        <v>0.57000000000000028</v>
      </c>
      <c r="K53" s="71">
        <f t="shared" si="18"/>
        <v>1860.9299999999992</v>
      </c>
      <c r="L53" s="72">
        <f t="shared" si="18"/>
        <v>6568.3800000000037</v>
      </c>
      <c r="M53" s="71">
        <f t="shared" si="18"/>
        <v>10471.660841186047</v>
      </c>
      <c r="N53" s="73">
        <f t="shared" si="18"/>
        <v>10471.660841186047</v>
      </c>
    </row>
    <row r="57" spans="2:14" ht="16.5" thickBot="1" x14ac:dyDescent="0.3">
      <c r="E57" s="74"/>
      <c r="F57" s="74"/>
      <c r="G57" s="174"/>
      <c r="J57" s="174"/>
      <c r="K57" s="74"/>
      <c r="L57" s="175"/>
    </row>
    <row r="58" spans="2:14" ht="15.75" customHeight="1" x14ac:dyDescent="0.25">
      <c r="E58" s="299" t="s">
        <v>91</v>
      </c>
      <c r="F58" s="299"/>
      <c r="G58" s="299"/>
      <c r="J58" s="298" t="s">
        <v>82</v>
      </c>
      <c r="K58" s="298"/>
      <c r="L58" s="298"/>
      <c r="M58" s="173"/>
    </row>
    <row r="62" spans="2:14" ht="15" x14ac:dyDescent="0.25">
      <c r="L62" s="33"/>
    </row>
    <row r="63" spans="2:14" ht="15" x14ac:dyDescent="0.25">
      <c r="L63" s="33"/>
    </row>
    <row r="64" spans="2:14" ht="15" x14ac:dyDescent="0.25">
      <c r="L64" s="33"/>
    </row>
    <row r="67" spans="3:3" x14ac:dyDescent="0.25">
      <c r="C67" s="33" t="s">
        <v>90</v>
      </c>
    </row>
  </sheetData>
  <mergeCells count="3">
    <mergeCell ref="B3:N3"/>
    <mergeCell ref="J58:L58"/>
    <mergeCell ref="E58:G58"/>
  </mergeCells>
  <pageMargins left="0.51181102362204722" right="0.51181102362204722" top="0.15748031496062992" bottom="0.35433070866141736" header="0.31496062992125984" footer="0.31496062992125984"/>
  <pageSetup scale="6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360DC-D655-4611-86EC-0EDDC4D6031F}">
  <sheetPr>
    <pageSetUpPr fitToPage="1"/>
  </sheetPr>
  <dimension ref="B3:X68"/>
  <sheetViews>
    <sheetView topLeftCell="A5" zoomScale="87" zoomScaleNormal="87" workbookViewId="0">
      <selection activeCell="E15" sqref="E15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2.28515625" style="102" customWidth="1"/>
    <col min="8" max="8" width="14.140625" style="102" hidden="1" customWidth="1"/>
    <col min="9" max="10" width="13.28515625" style="102" hidden="1" customWidth="1"/>
    <col min="11" max="11" width="13.28515625" style="102" customWidth="1"/>
    <col min="12" max="12" width="9.42578125" style="102" hidden="1" customWidth="1"/>
    <col min="13" max="13" width="14.42578125" style="102" hidden="1" customWidth="1"/>
    <col min="14" max="14" width="12.7109375" style="102" bestFit="1" customWidth="1"/>
    <col min="15" max="15" width="11.42578125" style="102" hidden="1" customWidth="1"/>
    <col min="16" max="16" width="12.85546875" style="102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4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4" ht="16.5" customHeight="1" x14ac:dyDescent="0.25">
      <c r="B4" s="291" t="s">
        <v>143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4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112" t="s">
        <v>87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4" x14ac:dyDescent="0.25">
      <c r="B6" s="121" t="s">
        <v>13</v>
      </c>
      <c r="C6" s="122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4" ht="21" x14ac:dyDescent="0.35">
      <c r="B7" s="102" t="s">
        <v>15</v>
      </c>
      <c r="C7" s="179" t="s">
        <v>16</v>
      </c>
      <c r="D7" s="102" t="s">
        <v>19</v>
      </c>
      <c r="E7" s="103">
        <v>19461.365000000002</v>
      </c>
      <c r="F7" s="126">
        <v>15</v>
      </c>
      <c r="G7" s="141"/>
      <c r="H7" s="103"/>
      <c r="I7" s="103"/>
      <c r="J7" s="103"/>
      <c r="K7" s="103">
        <f>E7-I7</f>
        <v>19461.365000000002</v>
      </c>
      <c r="L7" s="103">
        <v>0</v>
      </c>
      <c r="M7" s="103">
        <v>4023.06</v>
      </c>
      <c r="N7" s="103">
        <f>M7-L7</f>
        <v>4023.06</v>
      </c>
      <c r="O7" s="103">
        <v>-0.15</v>
      </c>
      <c r="P7" s="156">
        <f>ROUND(E7*0.115,2)</f>
        <v>2238.06</v>
      </c>
      <c r="Q7" s="103">
        <f>SUM(N7:P7)+G7</f>
        <v>6260.9699999999993</v>
      </c>
      <c r="R7" s="171">
        <f>K7-Q7</f>
        <v>13200.395000000002</v>
      </c>
      <c r="S7" s="170">
        <v>780.06561494516893</v>
      </c>
      <c r="T7" s="128">
        <f>+E7*17.5%+E7*3%</f>
        <v>3989.5798249999998</v>
      </c>
      <c r="U7" s="157">
        <f>ROUND(+E7*2%,2)</f>
        <v>389.23</v>
      </c>
      <c r="V7" s="129">
        <f>SUM(S7:U7)</f>
        <v>5158.8754399451682</v>
      </c>
      <c r="X7" s="169"/>
    </row>
    <row r="8" spans="2:24" ht="21" x14ac:dyDescent="0.35">
      <c r="B8" s="102" t="s">
        <v>17</v>
      </c>
      <c r="C8" s="179" t="s">
        <v>18</v>
      </c>
      <c r="D8" s="102" t="s">
        <v>2</v>
      </c>
      <c r="E8" s="103">
        <v>6247.33</v>
      </c>
      <c r="F8" s="126">
        <v>15</v>
      </c>
      <c r="G8" s="178">
        <v>1000</v>
      </c>
      <c r="H8" s="103"/>
      <c r="I8" s="130"/>
      <c r="J8" s="103"/>
      <c r="K8" s="103">
        <f>E8-I8</f>
        <v>6247.33</v>
      </c>
      <c r="L8" s="103">
        <v>0</v>
      </c>
      <c r="M8" s="103">
        <v>787.17</v>
      </c>
      <c r="N8" s="103">
        <f>M8-L8</f>
        <v>787.17</v>
      </c>
      <c r="O8" s="103">
        <v>-0.08</v>
      </c>
      <c r="P8" s="156">
        <f>ROUND(E8*0.115,2)</f>
        <v>718.44</v>
      </c>
      <c r="Q8" s="103">
        <f>SUM(N8:P8)+G8</f>
        <v>2505.5299999999997</v>
      </c>
      <c r="R8" s="171">
        <f>K8-Q8</f>
        <v>3741.8</v>
      </c>
      <c r="S8" s="170">
        <v>409.18406020865751</v>
      </c>
      <c r="T8" s="128">
        <f>+E8*17.5%+E8*3%</f>
        <v>1280.7026499999997</v>
      </c>
      <c r="U8" s="157">
        <f>ROUND(+E8*2%,2)</f>
        <v>124.95</v>
      </c>
      <c r="V8" s="129">
        <f>SUM(S8:U8)</f>
        <v>1814.8367102086572</v>
      </c>
      <c r="X8" s="169"/>
    </row>
    <row r="9" spans="2:24" ht="18.75" x14ac:dyDescent="0.3">
      <c r="B9" s="131" t="s">
        <v>20</v>
      </c>
      <c r="C9" s="132"/>
      <c r="D9" s="133"/>
      <c r="E9" s="134">
        <f>SUM(E7:E8)</f>
        <v>25708.695</v>
      </c>
      <c r="F9" s="134"/>
      <c r="G9" s="134">
        <f>+G8+G7</f>
        <v>1000</v>
      </c>
      <c r="H9" s="134"/>
      <c r="I9" s="134">
        <f t="shared" ref="I9:V9" si="0">SUM(I7:I8)</f>
        <v>0</v>
      </c>
      <c r="J9" s="134">
        <f t="shared" si="0"/>
        <v>0</v>
      </c>
      <c r="K9" s="134">
        <f t="shared" si="0"/>
        <v>25708.695</v>
      </c>
      <c r="L9" s="134">
        <f t="shared" si="0"/>
        <v>0</v>
      </c>
      <c r="M9" s="134">
        <f>SUM(M7:M8)</f>
        <v>4810.2299999999996</v>
      </c>
      <c r="N9" s="134">
        <f t="shared" si="0"/>
        <v>4810.2299999999996</v>
      </c>
      <c r="O9" s="134">
        <f t="shared" si="0"/>
        <v>-0.22999999999999998</v>
      </c>
      <c r="P9" s="134">
        <f>SUM(P7:P8)</f>
        <v>2956.5</v>
      </c>
      <c r="Q9" s="134">
        <f t="shared" si="0"/>
        <v>8766.5</v>
      </c>
      <c r="R9" s="135">
        <f>SUM(R7:R8)</f>
        <v>16942.195000000003</v>
      </c>
      <c r="S9" s="134">
        <f t="shared" si="0"/>
        <v>1189.2496751538265</v>
      </c>
      <c r="T9" s="134">
        <f t="shared" si="0"/>
        <v>5270.282475</v>
      </c>
      <c r="U9" s="134">
        <f>SUM(U7:U8)</f>
        <v>514.18000000000006</v>
      </c>
      <c r="V9" s="134">
        <f t="shared" si="0"/>
        <v>6973.7121501538259</v>
      </c>
      <c r="X9" s="169"/>
    </row>
    <row r="10" spans="2:24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4" ht="18.75" x14ac:dyDescent="0.3">
      <c r="B11" s="138" t="s">
        <v>21</v>
      </c>
      <c r="C11" s="132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4" ht="21" x14ac:dyDescent="0.35">
      <c r="B12" s="102" t="s">
        <v>23</v>
      </c>
      <c r="C12" s="179" t="s">
        <v>28</v>
      </c>
      <c r="D12" s="102" t="s">
        <v>114</v>
      </c>
      <c r="E12" s="103">
        <v>13000</v>
      </c>
      <c r="F12" s="126">
        <v>15</v>
      </c>
      <c r="G12" s="178">
        <v>3394</v>
      </c>
      <c r="H12" s="103"/>
      <c r="I12" s="103"/>
      <c r="J12" s="103"/>
      <c r="K12" s="103">
        <f t="shared" ref="K12:K18" si="1">E12-I12</f>
        <v>13000</v>
      </c>
      <c r="L12" s="103">
        <v>0</v>
      </c>
      <c r="M12" s="103">
        <v>2288.9699999999998</v>
      </c>
      <c r="N12" s="103">
        <f t="shared" ref="N12:N19" si="2">M12-L12</f>
        <v>2288.9699999999998</v>
      </c>
      <c r="O12" s="103">
        <v>0.03</v>
      </c>
      <c r="P12" s="156">
        <f t="shared" ref="P12:P19" si="3">ROUND(E12*0.115,2)</f>
        <v>1495</v>
      </c>
      <c r="Q12" s="103">
        <f t="shared" ref="Q12:Q19" si="4">SUM(N12:P12)+G12</f>
        <v>7178</v>
      </c>
      <c r="R12" s="171">
        <f t="shared" ref="R12:R19" si="5">K12-Q12</f>
        <v>5822</v>
      </c>
      <c r="S12" s="29">
        <v>598.71347263900634</v>
      </c>
      <c r="T12" s="128">
        <f>ROUND(+E12*17.5%,2)+ROUND(E12*3%,2)</f>
        <v>2665</v>
      </c>
      <c r="U12" s="157">
        <f t="shared" ref="U12:U19" si="6">ROUND(+E12*2%,2)</f>
        <v>260</v>
      </c>
      <c r="V12" s="129">
        <f t="shared" ref="V12:V19" si="7">SUM(S12:U12)</f>
        <v>3523.7134726390063</v>
      </c>
      <c r="X12" s="169"/>
    </row>
    <row r="13" spans="2:24" ht="21" x14ac:dyDescent="0.35">
      <c r="B13" s="102" t="s">
        <v>24</v>
      </c>
      <c r="C13" s="179" t="s">
        <v>29</v>
      </c>
      <c r="D13" s="102" t="s">
        <v>116</v>
      </c>
      <c r="E13" s="103">
        <v>7000.8</v>
      </c>
      <c r="F13" s="126">
        <v>15</v>
      </c>
      <c r="G13" s="103"/>
      <c r="H13" s="103"/>
      <c r="I13" s="139"/>
      <c r="J13" s="140"/>
      <c r="K13" s="103">
        <f>E13-I13</f>
        <v>7000.8</v>
      </c>
      <c r="L13" s="103">
        <v>0</v>
      </c>
      <c r="M13" s="103">
        <v>948.11</v>
      </c>
      <c r="N13" s="103">
        <f t="shared" si="2"/>
        <v>948.11</v>
      </c>
      <c r="O13" s="103">
        <v>0</v>
      </c>
      <c r="P13" s="156">
        <f t="shared" si="3"/>
        <v>805.09</v>
      </c>
      <c r="Q13" s="103">
        <f t="shared" si="4"/>
        <v>1753.2</v>
      </c>
      <c r="R13" s="171">
        <f t="shared" si="5"/>
        <v>5247.6</v>
      </c>
      <c r="S13" s="29">
        <v>430.3321725987945</v>
      </c>
      <c r="T13" s="128">
        <f t="shared" ref="T13:T19" si="8">ROUND(+E13*17.5%,2)+ROUND(E13*3%,2)</f>
        <v>1435.16</v>
      </c>
      <c r="U13" s="157">
        <f t="shared" si="6"/>
        <v>140.02000000000001</v>
      </c>
      <c r="V13" s="129">
        <f t="shared" si="7"/>
        <v>2005.5121725987947</v>
      </c>
      <c r="X13" s="169"/>
    </row>
    <row r="14" spans="2:24" ht="21" x14ac:dyDescent="0.35">
      <c r="B14" s="102" t="s">
        <v>25</v>
      </c>
      <c r="C14" s="179" t="s">
        <v>92</v>
      </c>
      <c r="D14" s="102" t="s">
        <v>115</v>
      </c>
      <c r="E14" s="103">
        <v>7000.8</v>
      </c>
      <c r="F14" s="126">
        <v>15</v>
      </c>
      <c r="G14" s="103"/>
      <c r="H14" s="141"/>
      <c r="I14" s="139"/>
      <c r="J14" s="140"/>
      <c r="K14" s="103">
        <f>E14-I14</f>
        <v>7000.8</v>
      </c>
      <c r="L14" s="103">
        <v>0</v>
      </c>
      <c r="M14" s="103">
        <v>948.11</v>
      </c>
      <c r="N14" s="103">
        <f t="shared" si="2"/>
        <v>948.11</v>
      </c>
      <c r="O14" s="103">
        <v>0</v>
      </c>
      <c r="P14" s="156">
        <f>ROUND(E14*0.115,2)</f>
        <v>805.09</v>
      </c>
      <c r="Q14" s="103">
        <f>SUM(N14:P14)+G14</f>
        <v>1753.2</v>
      </c>
      <c r="R14" s="171">
        <f>K14-Q14</f>
        <v>5247.6</v>
      </c>
      <c r="S14" s="29">
        <v>430.3321725987945</v>
      </c>
      <c r="T14" s="128">
        <f t="shared" si="8"/>
        <v>1435.16</v>
      </c>
      <c r="U14" s="157">
        <f t="shared" si="6"/>
        <v>140.02000000000001</v>
      </c>
      <c r="V14" s="129">
        <f t="shared" si="7"/>
        <v>2005.5121725987947</v>
      </c>
      <c r="X14" s="169"/>
    </row>
    <row r="15" spans="2:24" ht="21" x14ac:dyDescent="0.35">
      <c r="B15" s="102" t="s">
        <v>26</v>
      </c>
      <c r="C15" s="179" t="s">
        <v>58</v>
      </c>
      <c r="D15" s="102" t="s">
        <v>37</v>
      </c>
      <c r="E15" s="103">
        <v>7443.8</v>
      </c>
      <c r="F15" s="126">
        <v>15</v>
      </c>
      <c r="G15" s="103"/>
      <c r="H15" s="103"/>
      <c r="I15" s="139"/>
      <c r="J15" s="103"/>
      <c r="K15" s="103">
        <f t="shared" si="1"/>
        <v>7443.8</v>
      </c>
      <c r="L15" s="103">
        <v>0</v>
      </c>
      <c r="M15" s="103">
        <v>1042.73</v>
      </c>
      <c r="N15" s="103">
        <f t="shared" si="2"/>
        <v>1042.73</v>
      </c>
      <c r="O15" s="103">
        <v>0.03</v>
      </c>
      <c r="P15" s="156">
        <f t="shared" si="3"/>
        <v>856.04</v>
      </c>
      <c r="Q15" s="103">
        <f t="shared" si="4"/>
        <v>1898.8</v>
      </c>
      <c r="R15" s="171">
        <f t="shared" si="5"/>
        <v>5545</v>
      </c>
      <c r="S15" s="29">
        <v>442.76562804748858</v>
      </c>
      <c r="T15" s="128">
        <f t="shared" si="8"/>
        <v>1525.98</v>
      </c>
      <c r="U15" s="157">
        <f t="shared" si="6"/>
        <v>148.88</v>
      </c>
      <c r="V15" s="129">
        <f t="shared" si="7"/>
        <v>2117.6256280474886</v>
      </c>
      <c r="X15" s="169"/>
    </row>
    <row r="16" spans="2:24" ht="21" x14ac:dyDescent="0.35">
      <c r="B16" s="102" t="s">
        <v>27</v>
      </c>
      <c r="C16" s="179" t="s">
        <v>40</v>
      </c>
      <c r="D16" s="102" t="s">
        <v>117</v>
      </c>
      <c r="E16" s="103">
        <v>4918.3649999999998</v>
      </c>
      <c r="F16" s="126">
        <v>15</v>
      </c>
      <c r="G16" s="178">
        <v>1314</v>
      </c>
      <c r="H16" s="103"/>
      <c r="I16" s="139"/>
      <c r="J16" s="103"/>
      <c r="K16" s="103">
        <f>E16-I16</f>
        <v>4918.3649999999998</v>
      </c>
      <c r="L16" s="103">
        <v>0</v>
      </c>
      <c r="M16" s="103">
        <v>508.91</v>
      </c>
      <c r="N16" s="103">
        <f t="shared" si="2"/>
        <v>508.91</v>
      </c>
      <c r="O16" s="103">
        <v>0.05</v>
      </c>
      <c r="P16" s="156">
        <f>ROUND(E16*0.115,2)</f>
        <v>565.61</v>
      </c>
      <c r="Q16" s="103">
        <f>SUM(N16:P16)+G16</f>
        <v>2388.5700000000002</v>
      </c>
      <c r="R16" s="171">
        <f t="shared" si="5"/>
        <v>2529.7949999999996</v>
      </c>
      <c r="S16" s="29">
        <v>371.88369386257529</v>
      </c>
      <c r="T16" s="128">
        <f t="shared" si="8"/>
        <v>1008.26</v>
      </c>
      <c r="U16" s="157">
        <f t="shared" si="6"/>
        <v>98.37</v>
      </c>
      <c r="V16" s="129">
        <f t="shared" si="7"/>
        <v>1478.5136938625751</v>
      </c>
      <c r="X16" s="169"/>
    </row>
    <row r="17" spans="2:24" ht="21" x14ac:dyDescent="0.35">
      <c r="B17" s="102" t="s">
        <v>60</v>
      </c>
      <c r="C17" s="179" t="s">
        <v>41</v>
      </c>
      <c r="D17" s="102" t="s">
        <v>118</v>
      </c>
      <c r="E17" s="103">
        <v>4918.3649999999998</v>
      </c>
      <c r="F17" s="126">
        <v>15</v>
      </c>
      <c r="G17" s="178">
        <v>1106.6199999999999</v>
      </c>
      <c r="H17" s="103"/>
      <c r="I17" s="139"/>
      <c r="J17" s="103"/>
      <c r="K17" s="103">
        <f>E17-I17</f>
        <v>4918.3649999999998</v>
      </c>
      <c r="L17" s="103">
        <v>0</v>
      </c>
      <c r="M17" s="103">
        <v>508.91</v>
      </c>
      <c r="N17" s="103">
        <f t="shared" si="2"/>
        <v>508.91</v>
      </c>
      <c r="O17" s="103">
        <v>-0.17</v>
      </c>
      <c r="P17" s="156">
        <f t="shared" si="3"/>
        <v>565.61</v>
      </c>
      <c r="Q17" s="103">
        <f>SUM(N17:P17)+G17</f>
        <v>2180.9699999999998</v>
      </c>
      <c r="R17" s="171">
        <f>K17-Q17</f>
        <v>2737.395</v>
      </c>
      <c r="S17" s="29">
        <v>371.88369386257529</v>
      </c>
      <c r="T17" s="128">
        <f t="shared" si="8"/>
        <v>1008.26</v>
      </c>
      <c r="U17" s="157">
        <f t="shared" si="6"/>
        <v>98.37</v>
      </c>
      <c r="V17" s="129">
        <f t="shared" si="7"/>
        <v>1478.5136938625751</v>
      </c>
      <c r="X17" s="169"/>
    </row>
    <row r="18" spans="2:24" ht="21" x14ac:dyDescent="0.35">
      <c r="B18" s="102" t="s">
        <v>61</v>
      </c>
      <c r="C18" s="179" t="s">
        <v>43</v>
      </c>
      <c r="D18" s="102" t="s">
        <v>3</v>
      </c>
      <c r="E18" s="103">
        <v>4358.17</v>
      </c>
      <c r="F18" s="126">
        <v>15</v>
      </c>
      <c r="G18" s="178">
        <v>969</v>
      </c>
      <c r="H18" s="103"/>
      <c r="I18" s="103"/>
      <c r="J18" s="103"/>
      <c r="K18" s="103">
        <f t="shared" si="1"/>
        <v>4358.17</v>
      </c>
      <c r="L18" s="103"/>
      <c r="M18" s="103">
        <v>408.52</v>
      </c>
      <c r="N18" s="103">
        <f t="shared" si="2"/>
        <v>408.52</v>
      </c>
      <c r="O18" s="103">
        <v>-0.14000000000000001</v>
      </c>
      <c r="P18" s="156">
        <f t="shared" si="3"/>
        <v>501.19</v>
      </c>
      <c r="Q18" s="103">
        <f t="shared" si="4"/>
        <v>1878.57</v>
      </c>
      <c r="R18" s="171">
        <f t="shared" si="5"/>
        <v>2479.6000000000004</v>
      </c>
      <c r="S18" s="29">
        <v>356.16053204208214</v>
      </c>
      <c r="T18" s="128">
        <f t="shared" si="8"/>
        <v>893.43</v>
      </c>
      <c r="U18" s="157">
        <f t="shared" si="6"/>
        <v>87.16</v>
      </c>
      <c r="V18" s="129">
        <f t="shared" si="7"/>
        <v>1336.7505320420821</v>
      </c>
      <c r="X18" s="169"/>
    </row>
    <row r="19" spans="2:24" ht="21" x14ac:dyDescent="0.35">
      <c r="B19" s="102" t="s">
        <v>62</v>
      </c>
      <c r="C19" s="179" t="s">
        <v>42</v>
      </c>
      <c r="D19" s="102" t="s">
        <v>119</v>
      </c>
      <c r="E19" s="103">
        <v>4918.3649999999998</v>
      </c>
      <c r="F19" s="126">
        <v>15</v>
      </c>
      <c r="G19" s="178">
        <v>1213.4000000000001</v>
      </c>
      <c r="H19" s="130"/>
      <c r="I19" s="139"/>
      <c r="J19" s="103"/>
      <c r="K19" s="103">
        <f>E19-I19+H19</f>
        <v>4918.3649999999998</v>
      </c>
      <c r="L19" s="103"/>
      <c r="M19" s="103">
        <v>508.91</v>
      </c>
      <c r="N19" s="103">
        <f t="shared" si="2"/>
        <v>508.91</v>
      </c>
      <c r="O19" s="103">
        <v>0.05</v>
      </c>
      <c r="P19" s="156">
        <f t="shared" si="3"/>
        <v>565.61</v>
      </c>
      <c r="Q19" s="103">
        <f t="shared" si="4"/>
        <v>2287.9700000000003</v>
      </c>
      <c r="R19" s="171">
        <f t="shared" si="5"/>
        <v>2630.3949999999995</v>
      </c>
      <c r="S19" s="29">
        <v>371.88369386257529</v>
      </c>
      <c r="T19" s="128">
        <f t="shared" si="8"/>
        <v>1008.26</v>
      </c>
      <c r="U19" s="157">
        <f t="shared" si="6"/>
        <v>98.37</v>
      </c>
      <c r="V19" s="129">
        <f t="shared" si="7"/>
        <v>1478.5136938625751</v>
      </c>
      <c r="X19" s="169"/>
    </row>
    <row r="20" spans="2:24" ht="18.75" x14ac:dyDescent="0.3">
      <c r="B20" s="138" t="s">
        <v>20</v>
      </c>
      <c r="C20" s="132"/>
      <c r="D20" s="133"/>
      <c r="E20" s="134">
        <f>SUM(E12:E19)</f>
        <v>53558.664999999994</v>
      </c>
      <c r="F20" s="134"/>
      <c r="G20" s="134">
        <f>+G19+G18+G17+G16+G12</f>
        <v>7997.02</v>
      </c>
      <c r="H20" s="134"/>
      <c r="I20" s="134">
        <f t="shared" ref="I20:V20" si="9">SUM(I12:I19)</f>
        <v>0</v>
      </c>
      <c r="J20" s="134">
        <f t="shared" si="9"/>
        <v>0</v>
      </c>
      <c r="K20" s="134">
        <f t="shared" si="9"/>
        <v>53558.664999999994</v>
      </c>
      <c r="L20" s="134">
        <f t="shared" ref="L20" si="10">SUM(L12:L19)</f>
        <v>0</v>
      </c>
      <c r="M20" s="134">
        <f>SUM(M12:M19)</f>
        <v>7163.17</v>
      </c>
      <c r="N20" s="134">
        <f t="shared" si="9"/>
        <v>7163.17</v>
      </c>
      <c r="O20" s="134">
        <f t="shared" si="9"/>
        <v>-0.15000000000000002</v>
      </c>
      <c r="P20" s="134">
        <f>SUM(P12:P19)</f>
        <v>6159.2399999999989</v>
      </c>
      <c r="Q20" s="134">
        <f t="shared" si="9"/>
        <v>21319.280000000002</v>
      </c>
      <c r="R20" s="135">
        <f>SUM(R12:R19)</f>
        <v>32239.384999999998</v>
      </c>
      <c r="S20" s="134">
        <f t="shared" si="9"/>
        <v>3373.9550595138921</v>
      </c>
      <c r="T20" s="134">
        <f t="shared" si="9"/>
        <v>10979.51</v>
      </c>
      <c r="U20" s="134">
        <f>SUM(U12:U19)</f>
        <v>1071.19</v>
      </c>
      <c r="V20" s="134">
        <f t="shared" si="9"/>
        <v>15424.655059513891</v>
      </c>
      <c r="X20" s="169"/>
    </row>
    <row r="21" spans="2:24" ht="18.75" hidden="1" x14ac:dyDescent="0.3">
      <c r="B21" s="138"/>
      <c r="C21" s="136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37"/>
      <c r="X21" s="169"/>
    </row>
    <row r="22" spans="2:24" ht="18.75" x14ac:dyDescent="0.3">
      <c r="B22" s="138" t="s">
        <v>31</v>
      </c>
      <c r="C22" s="132" t="s">
        <v>83</v>
      </c>
      <c r="E22" s="103"/>
      <c r="F22" s="103"/>
      <c r="G22" s="103"/>
      <c r="H22" s="103"/>
      <c r="I22" s="103"/>
      <c r="J22" s="103"/>
      <c r="K22" s="142"/>
      <c r="L22" s="142"/>
      <c r="M22" s="103"/>
      <c r="N22" s="103"/>
      <c r="O22" s="103"/>
      <c r="P22" s="103"/>
      <c r="Q22" s="103"/>
      <c r="R22" s="137"/>
      <c r="X22" s="169"/>
    </row>
    <row r="23" spans="2:24" ht="21" x14ac:dyDescent="0.35">
      <c r="B23" s="102" t="s">
        <v>63</v>
      </c>
      <c r="C23" s="179" t="s">
        <v>110</v>
      </c>
      <c r="D23" s="158" t="s">
        <v>132</v>
      </c>
      <c r="E23" s="103">
        <v>7000.8</v>
      </c>
      <c r="F23" s="126">
        <v>15</v>
      </c>
      <c r="G23" s="103"/>
      <c r="H23" s="103"/>
      <c r="I23" s="103"/>
      <c r="J23" s="103"/>
      <c r="K23" s="103">
        <f>E23-I23</f>
        <v>7000.8</v>
      </c>
      <c r="L23" s="103">
        <v>0</v>
      </c>
      <c r="M23" s="103">
        <v>948.11</v>
      </c>
      <c r="N23" s="103">
        <f>M23-L23</f>
        <v>948.11</v>
      </c>
      <c r="O23" s="103">
        <v>0</v>
      </c>
      <c r="P23" s="156">
        <f>ROUND(E23*0.115,2)</f>
        <v>805.09</v>
      </c>
      <c r="Q23" s="103">
        <f t="shared" ref="Q23:Q24" si="11">SUM(N23:P23)+G23</f>
        <v>1753.2</v>
      </c>
      <c r="R23" s="171">
        <f>K23-Q23</f>
        <v>5247.6</v>
      </c>
      <c r="S23" s="170">
        <v>430.3321725987945</v>
      </c>
      <c r="T23" s="128">
        <f t="shared" ref="T23:T26" si="12">ROUND(+E23*17.5%,2)+ROUND(E23*3%,2)</f>
        <v>1435.16</v>
      </c>
      <c r="U23" s="157">
        <f t="shared" ref="U23:U26" si="13">ROUND(+E23*2%,2)</f>
        <v>140.02000000000001</v>
      </c>
      <c r="V23" s="129">
        <f t="shared" ref="V23:V24" si="14">SUM(S23:U23)</f>
        <v>2005.5121725987947</v>
      </c>
      <c r="X23" s="169"/>
    </row>
    <row r="24" spans="2:24" ht="21" x14ac:dyDescent="0.35">
      <c r="B24" s="102" t="s">
        <v>112</v>
      </c>
      <c r="C24" s="179" t="s">
        <v>113</v>
      </c>
      <c r="D24" s="158" t="s">
        <v>133</v>
      </c>
      <c r="E24" s="103">
        <v>7000.8</v>
      </c>
      <c r="F24" s="126">
        <v>15</v>
      </c>
      <c r="G24" s="103"/>
      <c r="H24" s="103"/>
      <c r="I24" s="103"/>
      <c r="J24" s="103"/>
      <c r="K24" s="103">
        <f>E24-I24</f>
        <v>7000.8</v>
      </c>
      <c r="L24" s="103">
        <v>0</v>
      </c>
      <c r="M24" s="103">
        <v>948.11</v>
      </c>
      <c r="N24" s="103">
        <f t="shared" ref="N24" si="15">M24-L24</f>
        <v>948.11</v>
      </c>
      <c r="O24" s="103">
        <v>0</v>
      </c>
      <c r="P24" s="156">
        <f>ROUND(E24*0.115,2)</f>
        <v>805.09</v>
      </c>
      <c r="Q24" s="103">
        <f t="shared" si="11"/>
        <v>1753.2</v>
      </c>
      <c r="R24" s="171">
        <f>K24-Q24</f>
        <v>5247.6</v>
      </c>
      <c r="S24" s="170">
        <v>430.3321725987945</v>
      </c>
      <c r="T24" s="128">
        <f t="shared" si="12"/>
        <v>1435.16</v>
      </c>
      <c r="U24" s="157">
        <f t="shared" si="13"/>
        <v>140.02000000000001</v>
      </c>
      <c r="V24" s="129">
        <f t="shared" si="14"/>
        <v>2005.5121725987947</v>
      </c>
      <c r="X24" s="169"/>
    </row>
    <row r="25" spans="2:24" ht="21" x14ac:dyDescent="0.35">
      <c r="B25" s="102" t="s">
        <v>64</v>
      </c>
      <c r="C25" s="179" t="s">
        <v>45</v>
      </c>
      <c r="D25" s="102" t="s">
        <v>122</v>
      </c>
      <c r="E25" s="103">
        <v>7000.8</v>
      </c>
      <c r="F25" s="126">
        <v>15</v>
      </c>
      <c r="G25" s="141"/>
      <c r="H25" s="103"/>
      <c r="I25" s="143"/>
      <c r="J25" s="103"/>
      <c r="K25" s="103">
        <f>E25-I25</f>
        <v>7000.8</v>
      </c>
      <c r="L25" s="103">
        <v>0</v>
      </c>
      <c r="M25" s="103">
        <v>948.11</v>
      </c>
      <c r="N25" s="103">
        <f>M25-L25</f>
        <v>948.11</v>
      </c>
      <c r="O25" s="103">
        <v>0</v>
      </c>
      <c r="P25" s="156">
        <f>ROUND(E25*0.115,2)</f>
        <v>805.09</v>
      </c>
      <c r="Q25" s="103">
        <f>SUM(N25:P25)+G25</f>
        <v>1753.2</v>
      </c>
      <c r="R25" s="171">
        <f>K25-Q25</f>
        <v>5247.6</v>
      </c>
      <c r="S25" s="170">
        <v>430.3321725987945</v>
      </c>
      <c r="T25" s="128">
        <f t="shared" si="12"/>
        <v>1435.16</v>
      </c>
      <c r="U25" s="157">
        <f t="shared" si="13"/>
        <v>140.02000000000001</v>
      </c>
      <c r="V25" s="129">
        <f>SUM(S25:U25)</f>
        <v>2005.5121725987947</v>
      </c>
      <c r="X25" s="169"/>
    </row>
    <row r="26" spans="2:24" ht="21" x14ac:dyDescent="0.35">
      <c r="B26" s="102" t="s">
        <v>65</v>
      </c>
      <c r="C26" s="179" t="s">
        <v>59</v>
      </c>
      <c r="D26" s="158" t="s">
        <v>134</v>
      </c>
      <c r="E26" s="103">
        <v>7000.8</v>
      </c>
      <c r="F26" s="126">
        <v>15</v>
      </c>
      <c r="G26" s="178">
        <v>1189</v>
      </c>
      <c r="H26" s="130"/>
      <c r="I26" s="130"/>
      <c r="J26" s="103"/>
      <c r="K26" s="103">
        <f>E26-I26+H26</f>
        <v>7000.8</v>
      </c>
      <c r="L26" s="103">
        <v>0</v>
      </c>
      <c r="M26" s="103">
        <v>948.11</v>
      </c>
      <c r="N26" s="103">
        <f>M26-L26</f>
        <v>948.11</v>
      </c>
      <c r="O26" s="103">
        <v>0</v>
      </c>
      <c r="P26" s="156">
        <f>ROUND(E26*0.115,2)</f>
        <v>805.09</v>
      </c>
      <c r="Q26" s="103">
        <f>SUM(N26:P26)+G26</f>
        <v>2942.2</v>
      </c>
      <c r="R26" s="171">
        <f>K26-Q26</f>
        <v>4058.6000000000004</v>
      </c>
      <c r="S26" s="170">
        <v>430.3321725987945</v>
      </c>
      <c r="T26" s="128">
        <f t="shared" si="12"/>
        <v>1435.16</v>
      </c>
      <c r="U26" s="157">
        <f t="shared" si="13"/>
        <v>140.02000000000001</v>
      </c>
      <c r="V26" s="129">
        <f>SUM(S26:U26)</f>
        <v>2005.5121725987947</v>
      </c>
      <c r="X26" s="169"/>
    </row>
    <row r="27" spans="2:24" ht="18.75" x14ac:dyDescent="0.3">
      <c r="B27" s="138" t="s">
        <v>20</v>
      </c>
      <c r="C27" s="132"/>
      <c r="D27" s="133"/>
      <c r="E27" s="134">
        <f>SUM(E23:E26)</f>
        <v>28003.200000000001</v>
      </c>
      <c r="F27" s="134"/>
      <c r="G27" s="134">
        <f>+G26+G25+G23+G24</f>
        <v>1189</v>
      </c>
      <c r="H27" s="134"/>
      <c r="I27" s="134">
        <f t="shared" ref="I27:N27" si="16">SUM(I23:I26)</f>
        <v>0</v>
      </c>
      <c r="J27" s="134">
        <f t="shared" si="16"/>
        <v>0</v>
      </c>
      <c r="K27" s="134">
        <f t="shared" si="16"/>
        <v>28003.200000000001</v>
      </c>
      <c r="L27" s="134">
        <f t="shared" ref="L27" si="17">SUM(L23:L26)</f>
        <v>0</v>
      </c>
      <c r="M27" s="134">
        <f>SUM(M23:M26)</f>
        <v>3792.44</v>
      </c>
      <c r="N27" s="134">
        <f t="shared" si="16"/>
        <v>3792.44</v>
      </c>
      <c r="O27" s="134">
        <f t="shared" ref="O27:Q27" si="18">SUM(O23:O26)</f>
        <v>0</v>
      </c>
      <c r="P27" s="134">
        <f>SUM(P23:P26)</f>
        <v>3220.36</v>
      </c>
      <c r="Q27" s="134">
        <f t="shared" si="18"/>
        <v>8201.7999999999993</v>
      </c>
      <c r="R27" s="135">
        <f>SUM(R23:R26)</f>
        <v>19801.400000000001</v>
      </c>
      <c r="S27" s="134">
        <f>SUM(S23:S26)</f>
        <v>1721.328690395178</v>
      </c>
      <c r="T27" s="134">
        <f>SUM(T23:T26)</f>
        <v>5740.64</v>
      </c>
      <c r="U27" s="134">
        <f>SUM(U23:U26)</f>
        <v>560.08000000000004</v>
      </c>
      <c r="V27" s="134">
        <f>SUM(V23:V26)</f>
        <v>8022.0486903951787</v>
      </c>
      <c r="X27" s="169"/>
    </row>
    <row r="28" spans="2:24" ht="18.75" hidden="1" x14ac:dyDescent="0.3">
      <c r="C28" s="136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37"/>
      <c r="X28" s="169"/>
    </row>
    <row r="29" spans="2:24" ht="18.75" x14ac:dyDescent="0.3">
      <c r="B29" s="138" t="s">
        <v>33</v>
      </c>
      <c r="C29" s="132" t="s">
        <v>32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37"/>
      <c r="X29" s="169"/>
    </row>
    <row r="30" spans="2:24" ht="21" x14ac:dyDescent="0.35">
      <c r="B30" s="102" t="s">
        <v>66</v>
      </c>
      <c r="C30" s="179" t="s">
        <v>49</v>
      </c>
      <c r="D30" s="158" t="s">
        <v>128</v>
      </c>
      <c r="E30" s="103">
        <v>7000.8</v>
      </c>
      <c r="F30" s="126">
        <v>15</v>
      </c>
      <c r="G30" s="103"/>
      <c r="H30" s="103"/>
      <c r="I30" s="144"/>
      <c r="J30" s="103"/>
      <c r="K30" s="103">
        <f t="shared" ref="K30:K37" si="19">E30-I30</f>
        <v>7000.8</v>
      </c>
      <c r="L30" s="103">
        <v>0</v>
      </c>
      <c r="M30" s="103">
        <v>948.11</v>
      </c>
      <c r="N30" s="103">
        <f>M30-L30</f>
        <v>948.11</v>
      </c>
      <c r="O30" s="103">
        <v>0</v>
      </c>
      <c r="P30" s="156">
        <f>ROUND(E30*0.115,2)</f>
        <v>805.09</v>
      </c>
      <c r="Q30" s="103">
        <f t="shared" ref="Q30:Q40" si="20">SUM(N30:P30)+G30</f>
        <v>1753.2</v>
      </c>
      <c r="R30" s="171">
        <f t="shared" ref="R30:R38" si="21">K30-Q30</f>
        <v>5247.6</v>
      </c>
      <c r="S30" s="170">
        <v>430.3321725987945</v>
      </c>
      <c r="T30" s="128">
        <f t="shared" ref="T30:T40" si="22">ROUND(+E30*17.5%,2)+ROUND(E30*3%,2)</f>
        <v>1435.16</v>
      </c>
      <c r="U30" s="157">
        <f t="shared" ref="U30:U40" si="23">ROUND(+E30*2%,2)</f>
        <v>140.02000000000001</v>
      </c>
      <c r="V30" s="129">
        <f>SUM(S30:U30)</f>
        <v>2005.5121725987947</v>
      </c>
      <c r="X30" s="169"/>
    </row>
    <row r="31" spans="2:24" ht="21" x14ac:dyDescent="0.35">
      <c r="B31" s="102" t="s">
        <v>67</v>
      </c>
      <c r="C31" s="179" t="s">
        <v>51</v>
      </c>
      <c r="D31" s="158" t="s">
        <v>135</v>
      </c>
      <c r="E31" s="103">
        <v>7000.8</v>
      </c>
      <c r="F31" s="126">
        <v>15</v>
      </c>
      <c r="G31" s="141"/>
      <c r="H31" s="103"/>
      <c r="I31" s="130"/>
      <c r="J31" s="141"/>
      <c r="K31" s="141">
        <f t="shared" si="19"/>
        <v>7000.8</v>
      </c>
      <c r="L31" s="141">
        <v>0</v>
      </c>
      <c r="M31" s="103">
        <v>948.11</v>
      </c>
      <c r="N31" s="103">
        <f t="shared" ref="N31:N40" si="24">M31-L31</f>
        <v>948.11</v>
      </c>
      <c r="O31" s="103">
        <v>0</v>
      </c>
      <c r="P31" s="156">
        <f t="shared" ref="P31:P40" si="25">ROUND(E31*0.115,2)</f>
        <v>805.09</v>
      </c>
      <c r="Q31" s="103">
        <f>SUM(N31:P31)+G31</f>
        <v>1753.2</v>
      </c>
      <c r="R31" s="171">
        <f t="shared" si="21"/>
        <v>5247.6</v>
      </c>
      <c r="S31" s="170">
        <v>430.3321725987945</v>
      </c>
      <c r="T31" s="128">
        <f t="shared" si="22"/>
        <v>1435.16</v>
      </c>
      <c r="U31" s="157">
        <f t="shared" si="23"/>
        <v>140.02000000000001</v>
      </c>
      <c r="V31" s="129">
        <f>SUM(S31:U31)</f>
        <v>2005.5121725987947</v>
      </c>
      <c r="X31" s="169"/>
    </row>
    <row r="32" spans="2:24" ht="21" x14ac:dyDescent="0.35">
      <c r="B32" s="102" t="s">
        <v>68</v>
      </c>
      <c r="C32" s="179" t="s">
        <v>48</v>
      </c>
      <c r="D32" s="102" t="s">
        <v>123</v>
      </c>
      <c r="E32" s="103">
        <v>7443.8</v>
      </c>
      <c r="F32" s="126">
        <v>15</v>
      </c>
      <c r="G32" s="103"/>
      <c r="H32" s="103"/>
      <c r="I32" s="130"/>
      <c r="J32" s="103"/>
      <c r="K32" s="103">
        <f t="shared" si="19"/>
        <v>7443.8</v>
      </c>
      <c r="L32" s="103">
        <v>0</v>
      </c>
      <c r="M32" s="103">
        <v>1042.73</v>
      </c>
      <c r="N32" s="103">
        <f>M32-L32</f>
        <v>1042.73</v>
      </c>
      <c r="O32" s="103">
        <v>-0.17</v>
      </c>
      <c r="P32" s="156">
        <f t="shared" si="25"/>
        <v>856.04</v>
      </c>
      <c r="Q32" s="103">
        <f t="shared" si="20"/>
        <v>1898.6</v>
      </c>
      <c r="R32" s="171">
        <f t="shared" si="21"/>
        <v>5545.2000000000007</v>
      </c>
      <c r="S32" s="170">
        <v>442.76562804748858</v>
      </c>
      <c r="T32" s="128">
        <f t="shared" si="22"/>
        <v>1525.98</v>
      </c>
      <c r="U32" s="157">
        <f>ROUND(+E32*2%,2)</f>
        <v>148.88</v>
      </c>
      <c r="V32" s="129">
        <f t="shared" ref="V32:V40" si="26">SUM(S32:U32)</f>
        <v>2117.6256280474886</v>
      </c>
      <c r="X32" s="169"/>
    </row>
    <row r="33" spans="2:24" ht="21" x14ac:dyDescent="0.35">
      <c r="B33" s="102" t="s">
        <v>77</v>
      </c>
      <c r="C33" s="179" t="s">
        <v>111</v>
      </c>
      <c r="D33" s="102" t="s">
        <v>127</v>
      </c>
      <c r="E33" s="103">
        <v>7000.8</v>
      </c>
      <c r="F33" s="126">
        <v>15</v>
      </c>
      <c r="G33" s="103"/>
      <c r="H33" s="103"/>
      <c r="I33" s="144"/>
      <c r="J33" s="103"/>
      <c r="K33" s="103">
        <f>E33-I33</f>
        <v>7000.8</v>
      </c>
      <c r="L33" s="103">
        <v>0</v>
      </c>
      <c r="M33" s="103">
        <v>948.11</v>
      </c>
      <c r="N33" s="103">
        <f t="shared" si="24"/>
        <v>948.11</v>
      </c>
      <c r="O33" s="103">
        <v>0</v>
      </c>
      <c r="P33" s="156">
        <f t="shared" si="25"/>
        <v>805.09</v>
      </c>
      <c r="Q33" s="103">
        <f>SUM(N33:P33)+G33</f>
        <v>1753.2</v>
      </c>
      <c r="R33" s="171">
        <f>K33-Q33</f>
        <v>5247.6</v>
      </c>
      <c r="S33" s="170">
        <v>430.3321725987945</v>
      </c>
      <c r="T33" s="128">
        <f t="shared" si="22"/>
        <v>1435.16</v>
      </c>
      <c r="U33" s="157">
        <f t="shared" si="23"/>
        <v>140.02000000000001</v>
      </c>
      <c r="V33" s="129">
        <f t="shared" si="26"/>
        <v>2005.5121725987947</v>
      </c>
      <c r="X33" s="169"/>
    </row>
    <row r="34" spans="2:24" ht="21" x14ac:dyDescent="0.35">
      <c r="B34" s="102" t="s">
        <v>70</v>
      </c>
      <c r="C34" s="179" t="s">
        <v>46</v>
      </c>
      <c r="D34" s="102" t="s">
        <v>124</v>
      </c>
      <c r="E34" s="103">
        <v>7000.8</v>
      </c>
      <c r="F34" s="126">
        <v>15</v>
      </c>
      <c r="G34" s="178">
        <v>572.98</v>
      </c>
      <c r="H34" s="103"/>
      <c r="I34" s="139"/>
      <c r="J34" s="141"/>
      <c r="K34" s="141">
        <f t="shared" si="19"/>
        <v>7000.8</v>
      </c>
      <c r="L34" s="141">
        <v>0</v>
      </c>
      <c r="M34" s="103">
        <v>948.11</v>
      </c>
      <c r="N34" s="103">
        <f t="shared" si="24"/>
        <v>948.11</v>
      </c>
      <c r="O34" s="103">
        <v>-0.18</v>
      </c>
      <c r="P34" s="156">
        <f t="shared" si="25"/>
        <v>805.09</v>
      </c>
      <c r="Q34" s="103">
        <f t="shared" si="20"/>
        <v>2326</v>
      </c>
      <c r="R34" s="171">
        <f t="shared" si="21"/>
        <v>4674.8</v>
      </c>
      <c r="S34" s="170">
        <v>430.3321725987945</v>
      </c>
      <c r="T34" s="128">
        <f t="shared" si="22"/>
        <v>1435.16</v>
      </c>
      <c r="U34" s="157">
        <f t="shared" si="23"/>
        <v>140.02000000000001</v>
      </c>
      <c r="V34" s="129">
        <f t="shared" si="26"/>
        <v>2005.5121725987947</v>
      </c>
      <c r="X34" s="169"/>
    </row>
    <row r="35" spans="2:24" ht="21" x14ac:dyDescent="0.35">
      <c r="B35" s="102" t="s">
        <v>71</v>
      </c>
      <c r="C35" s="179" t="s">
        <v>50</v>
      </c>
      <c r="D35" s="102" t="s">
        <v>124</v>
      </c>
      <c r="E35" s="103">
        <v>7000.8</v>
      </c>
      <c r="F35" s="126">
        <v>15</v>
      </c>
      <c r="G35" s="103"/>
      <c r="H35" s="141"/>
      <c r="I35" s="130"/>
      <c r="J35" s="141"/>
      <c r="K35" s="141">
        <f t="shared" si="19"/>
        <v>7000.8</v>
      </c>
      <c r="L35" s="141">
        <v>0</v>
      </c>
      <c r="M35" s="103">
        <v>948.11</v>
      </c>
      <c r="N35" s="141">
        <f t="shared" si="24"/>
        <v>948.11</v>
      </c>
      <c r="O35" s="103">
        <v>0</v>
      </c>
      <c r="P35" s="156">
        <f t="shared" si="25"/>
        <v>805.09</v>
      </c>
      <c r="Q35" s="103">
        <f t="shared" si="20"/>
        <v>1753.2</v>
      </c>
      <c r="R35" s="171">
        <f t="shared" si="21"/>
        <v>5247.6</v>
      </c>
      <c r="S35" s="170">
        <v>430.3321725987945</v>
      </c>
      <c r="T35" s="128">
        <f t="shared" si="22"/>
        <v>1435.16</v>
      </c>
      <c r="U35" s="157">
        <f t="shared" si="23"/>
        <v>140.02000000000001</v>
      </c>
      <c r="V35" s="129">
        <f t="shared" si="26"/>
        <v>2005.5121725987947</v>
      </c>
      <c r="X35" s="169"/>
    </row>
    <row r="36" spans="2:24" ht="21" x14ac:dyDescent="0.35">
      <c r="B36" s="102" t="s">
        <v>72</v>
      </c>
      <c r="C36" s="179" t="s">
        <v>52</v>
      </c>
      <c r="D36" s="102" t="s">
        <v>124</v>
      </c>
      <c r="E36" s="103">
        <v>7000.8</v>
      </c>
      <c r="F36" s="126">
        <v>15</v>
      </c>
      <c r="G36" s="103"/>
      <c r="H36" s="103"/>
      <c r="I36" s="139"/>
      <c r="J36" s="141"/>
      <c r="K36" s="141">
        <f t="shared" si="19"/>
        <v>7000.8</v>
      </c>
      <c r="L36" s="141">
        <v>0</v>
      </c>
      <c r="M36" s="103">
        <v>948.11</v>
      </c>
      <c r="N36" s="103">
        <f>M36-L36</f>
        <v>948.11</v>
      </c>
      <c r="O36" s="103">
        <v>0</v>
      </c>
      <c r="P36" s="156">
        <f t="shared" si="25"/>
        <v>805.09</v>
      </c>
      <c r="Q36" s="103">
        <f t="shared" si="20"/>
        <v>1753.2</v>
      </c>
      <c r="R36" s="171">
        <f t="shared" si="21"/>
        <v>5247.6</v>
      </c>
      <c r="S36" s="170">
        <v>430.3321725987945</v>
      </c>
      <c r="T36" s="128">
        <f t="shared" si="22"/>
        <v>1435.16</v>
      </c>
      <c r="U36" s="157">
        <f t="shared" si="23"/>
        <v>140.02000000000001</v>
      </c>
      <c r="V36" s="129">
        <f t="shared" si="26"/>
        <v>2005.5121725987947</v>
      </c>
      <c r="X36" s="169"/>
    </row>
    <row r="37" spans="2:24" ht="21" x14ac:dyDescent="0.35">
      <c r="B37" s="102" t="s">
        <v>73</v>
      </c>
      <c r="C37" s="179" t="s">
        <v>47</v>
      </c>
      <c r="D37" s="102" t="s">
        <v>125</v>
      </c>
      <c r="E37" s="103">
        <v>7000.8</v>
      </c>
      <c r="F37" s="126">
        <v>15</v>
      </c>
      <c r="G37" s="141"/>
      <c r="H37" s="103"/>
      <c r="I37" s="145"/>
      <c r="J37" s="103"/>
      <c r="K37" s="103">
        <f t="shared" si="19"/>
        <v>7000.8</v>
      </c>
      <c r="L37" s="103">
        <v>0</v>
      </c>
      <c r="M37" s="103">
        <v>948.11</v>
      </c>
      <c r="N37" s="103">
        <f t="shared" si="24"/>
        <v>948.11</v>
      </c>
      <c r="O37" s="103">
        <v>0</v>
      </c>
      <c r="P37" s="156">
        <f t="shared" si="25"/>
        <v>805.09</v>
      </c>
      <c r="Q37" s="103">
        <f>SUM(N37:P37)+G37</f>
        <v>1753.2</v>
      </c>
      <c r="R37" s="171">
        <f>K37-Q37</f>
        <v>5247.6</v>
      </c>
      <c r="S37" s="170">
        <v>430.3321725987945</v>
      </c>
      <c r="T37" s="128">
        <f t="shared" si="22"/>
        <v>1435.16</v>
      </c>
      <c r="U37" s="157">
        <f t="shared" si="23"/>
        <v>140.02000000000001</v>
      </c>
      <c r="V37" s="129">
        <f t="shared" si="26"/>
        <v>2005.5121725987947</v>
      </c>
      <c r="X37" s="169"/>
    </row>
    <row r="38" spans="2:24" ht="21" x14ac:dyDescent="0.35">
      <c r="B38" s="102" t="s">
        <v>74</v>
      </c>
      <c r="C38" s="179" t="s">
        <v>53</v>
      </c>
      <c r="D38" s="102" t="s">
        <v>125</v>
      </c>
      <c r="E38" s="103">
        <v>7000.8</v>
      </c>
      <c r="F38" s="126">
        <v>15</v>
      </c>
      <c r="G38" s="178">
        <v>1500</v>
      </c>
      <c r="H38" s="103"/>
      <c r="I38" s="139"/>
      <c r="J38" s="103"/>
      <c r="K38" s="103">
        <f>E38-I38</f>
        <v>7000.8</v>
      </c>
      <c r="L38" s="103">
        <v>0</v>
      </c>
      <c r="M38" s="103">
        <v>948.11</v>
      </c>
      <c r="N38" s="103">
        <f t="shared" si="24"/>
        <v>948.11</v>
      </c>
      <c r="O38" s="103">
        <v>0</v>
      </c>
      <c r="P38" s="156">
        <f t="shared" si="25"/>
        <v>805.09</v>
      </c>
      <c r="Q38" s="103">
        <f>SUM(N38:P38)+G38</f>
        <v>3253.2</v>
      </c>
      <c r="R38" s="171">
        <f t="shared" si="21"/>
        <v>3747.6000000000004</v>
      </c>
      <c r="S38" s="170">
        <v>430.3321725987945</v>
      </c>
      <c r="T38" s="128">
        <f t="shared" si="22"/>
        <v>1435.16</v>
      </c>
      <c r="U38" s="157">
        <f t="shared" si="23"/>
        <v>140.02000000000001</v>
      </c>
      <c r="V38" s="129">
        <f t="shared" si="26"/>
        <v>2005.5121725987947</v>
      </c>
      <c r="X38" s="169"/>
    </row>
    <row r="39" spans="2:24" ht="21" x14ac:dyDescent="0.35">
      <c r="B39" s="102" t="s">
        <v>75</v>
      </c>
      <c r="C39" s="179" t="s">
        <v>39</v>
      </c>
      <c r="D39" s="102" t="s">
        <v>126</v>
      </c>
      <c r="E39" s="103">
        <v>7000.8</v>
      </c>
      <c r="F39" s="126">
        <v>15</v>
      </c>
      <c r="G39" s="141"/>
      <c r="H39" s="103"/>
      <c r="I39" s="144"/>
      <c r="J39" s="103"/>
      <c r="K39" s="103">
        <f>E39-I39</f>
        <v>7000.8</v>
      </c>
      <c r="L39" s="103">
        <v>0</v>
      </c>
      <c r="M39" s="103">
        <v>948.11</v>
      </c>
      <c r="N39" s="103">
        <f t="shared" si="24"/>
        <v>948.11</v>
      </c>
      <c r="O39" s="103">
        <v>0</v>
      </c>
      <c r="P39" s="156">
        <f t="shared" si="25"/>
        <v>805.09</v>
      </c>
      <c r="Q39" s="103">
        <f>SUM(N39:P39)+G39</f>
        <v>1753.2</v>
      </c>
      <c r="R39" s="171">
        <f>K39-Q39</f>
        <v>5247.6</v>
      </c>
      <c r="S39" s="170">
        <v>430.3321725987945</v>
      </c>
      <c r="T39" s="128">
        <f t="shared" si="22"/>
        <v>1435.16</v>
      </c>
      <c r="U39" s="157">
        <f t="shared" si="23"/>
        <v>140.02000000000001</v>
      </c>
      <c r="V39" s="129">
        <f t="shared" si="26"/>
        <v>2005.5121725987947</v>
      </c>
      <c r="X39" s="169"/>
    </row>
    <row r="40" spans="2:24" ht="21" x14ac:dyDescent="0.35">
      <c r="B40" s="102" t="s">
        <v>76</v>
      </c>
      <c r="C40" s="179" t="s">
        <v>54</v>
      </c>
      <c r="D40" s="102" t="s">
        <v>126</v>
      </c>
      <c r="E40" s="103">
        <v>7000.8</v>
      </c>
      <c r="F40" s="126">
        <v>15</v>
      </c>
      <c r="G40" s="141"/>
      <c r="H40" s="103"/>
      <c r="I40" s="144"/>
      <c r="J40" s="103"/>
      <c r="K40" s="103">
        <f>E40-I40</f>
        <v>7000.8</v>
      </c>
      <c r="L40" s="103">
        <v>0</v>
      </c>
      <c r="M40" s="103">
        <v>948.11</v>
      </c>
      <c r="N40" s="103">
        <f t="shared" si="24"/>
        <v>948.11</v>
      </c>
      <c r="O40" s="103">
        <v>0</v>
      </c>
      <c r="P40" s="156">
        <f t="shared" si="25"/>
        <v>805.09</v>
      </c>
      <c r="Q40" s="103">
        <f t="shared" si="20"/>
        <v>1753.2</v>
      </c>
      <c r="R40" s="171">
        <f>K40-Q40</f>
        <v>5247.6</v>
      </c>
      <c r="S40" s="170">
        <v>430.3321725987945</v>
      </c>
      <c r="T40" s="128">
        <f t="shared" si="22"/>
        <v>1435.16</v>
      </c>
      <c r="U40" s="157">
        <f t="shared" si="23"/>
        <v>140.02000000000001</v>
      </c>
      <c r="V40" s="129">
        <f t="shared" si="26"/>
        <v>2005.5121725987947</v>
      </c>
      <c r="X40" s="169"/>
    </row>
    <row r="41" spans="2:24" ht="18.75" x14ac:dyDescent="0.3">
      <c r="B41" s="138" t="s">
        <v>20</v>
      </c>
      <c r="C41" s="132"/>
      <c r="D41" s="133"/>
      <c r="E41" s="134">
        <f>SUM(E30:E40)</f>
        <v>77451.800000000017</v>
      </c>
      <c r="F41" s="134"/>
      <c r="G41" s="134">
        <f>+G40+G39+G38+G37+G36+G35+G34+G31</f>
        <v>2072.98</v>
      </c>
      <c r="H41" s="134"/>
      <c r="I41" s="134">
        <f>SUM(I30:I40)</f>
        <v>0</v>
      </c>
      <c r="J41" s="134">
        <f t="shared" ref="J41:V41" si="27">SUM(J30:J40)</f>
        <v>0</v>
      </c>
      <c r="K41" s="134">
        <f>SUM(K30:K40)</f>
        <v>77451.800000000017</v>
      </c>
      <c r="L41" s="134">
        <f>SUM(L30:L40)</f>
        <v>0</v>
      </c>
      <c r="M41" s="134">
        <f>SUM(M30:M40)</f>
        <v>10523.83</v>
      </c>
      <c r="N41" s="134">
        <f>SUM(N30:N40)</f>
        <v>10523.83</v>
      </c>
      <c r="O41" s="134">
        <f t="shared" si="27"/>
        <v>-0.35</v>
      </c>
      <c r="P41" s="134">
        <f>SUM(P30:P40)</f>
        <v>8906.94</v>
      </c>
      <c r="Q41" s="134">
        <f t="shared" si="27"/>
        <v>21503.400000000005</v>
      </c>
      <c r="R41" s="135">
        <f t="shared" si="27"/>
        <v>55948.399999999994</v>
      </c>
      <c r="S41" s="134">
        <f t="shared" si="27"/>
        <v>4746.0873540354332</v>
      </c>
      <c r="T41" s="134">
        <f t="shared" si="27"/>
        <v>15877.58</v>
      </c>
      <c r="U41" s="134">
        <f>SUM(U30:U40)</f>
        <v>1549.08</v>
      </c>
      <c r="V41" s="134">
        <f t="shared" si="27"/>
        <v>22172.74735403544</v>
      </c>
      <c r="X41" s="169"/>
    </row>
    <row r="42" spans="2:24" ht="18.75" hidden="1" x14ac:dyDescent="0.3">
      <c r="C42" s="136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37"/>
      <c r="X42" s="169"/>
    </row>
    <row r="43" spans="2:24" ht="18.75" x14ac:dyDescent="0.3">
      <c r="B43" s="138" t="s">
        <v>78</v>
      </c>
      <c r="C43" s="132" t="s">
        <v>34</v>
      </c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37"/>
      <c r="X43" s="169"/>
    </row>
    <row r="44" spans="2:24" ht="21" x14ac:dyDescent="0.35">
      <c r="B44" s="102" t="s">
        <v>69</v>
      </c>
      <c r="C44" s="179" t="s">
        <v>55</v>
      </c>
      <c r="D44" s="102" t="s">
        <v>130</v>
      </c>
      <c r="E44" s="103">
        <v>7443.8</v>
      </c>
      <c r="F44" s="126">
        <v>15</v>
      </c>
      <c r="G44" s="137"/>
      <c r="H44" s="103"/>
      <c r="I44" s="144"/>
      <c r="J44" s="141"/>
      <c r="K44" s="141">
        <f t="shared" ref="K44" si="28">E44-I44</f>
        <v>7443.8</v>
      </c>
      <c r="L44" s="141">
        <v>0</v>
      </c>
      <c r="M44" s="103">
        <v>1042.73</v>
      </c>
      <c r="N44" s="103">
        <f>M44-L44</f>
        <v>1042.73</v>
      </c>
      <c r="O44" s="103">
        <v>-0.17</v>
      </c>
      <c r="P44" s="156">
        <f t="shared" ref="P44:P46" si="29">ROUND(E44*0.115,2)</f>
        <v>856.04</v>
      </c>
      <c r="Q44" s="103">
        <f t="shared" ref="Q44" si="30">SUM(N44:P44)+G44</f>
        <v>1898.6</v>
      </c>
      <c r="R44" s="171">
        <f t="shared" ref="R44" si="31">K44-Q44</f>
        <v>5545.2000000000007</v>
      </c>
      <c r="S44" s="170">
        <v>442.76562804748858</v>
      </c>
      <c r="T44" s="128">
        <f t="shared" ref="T44:T46" si="32">ROUND(+E44*17.5%,2)+ROUND(E44*3%,2)</f>
        <v>1525.98</v>
      </c>
      <c r="U44" s="157">
        <f t="shared" ref="U44:U46" si="33">ROUND(+E44*2%,2)</f>
        <v>148.88</v>
      </c>
      <c r="V44" s="129">
        <f t="shared" ref="V44:V46" si="34">SUM(S44:U44)</f>
        <v>2117.6256280474886</v>
      </c>
      <c r="X44" s="169"/>
    </row>
    <row r="45" spans="2:24" ht="21" x14ac:dyDescent="0.35">
      <c r="B45" s="102" t="s">
        <v>81</v>
      </c>
      <c r="C45" s="179" t="s">
        <v>44</v>
      </c>
      <c r="D45" s="102" t="s">
        <v>128</v>
      </c>
      <c r="E45" s="103">
        <v>7000.8</v>
      </c>
      <c r="F45" s="126">
        <v>15</v>
      </c>
      <c r="G45" s="141"/>
      <c r="H45" s="103"/>
      <c r="I45" s="144"/>
      <c r="J45" s="103"/>
      <c r="K45" s="103">
        <f>E45-I45</f>
        <v>7000.8</v>
      </c>
      <c r="L45" s="103">
        <v>0</v>
      </c>
      <c r="M45" s="103">
        <v>948.11</v>
      </c>
      <c r="N45" s="103">
        <f>M45-L45</f>
        <v>948.11</v>
      </c>
      <c r="O45" s="103">
        <v>0</v>
      </c>
      <c r="P45" s="156">
        <f t="shared" si="29"/>
        <v>805.09</v>
      </c>
      <c r="Q45" s="103">
        <f>SUM(N45:P45)+G45</f>
        <v>1753.2</v>
      </c>
      <c r="R45" s="171">
        <f>K45-Q45</f>
        <v>5247.6</v>
      </c>
      <c r="S45" s="170">
        <v>430.3321725987945</v>
      </c>
      <c r="T45" s="128">
        <f t="shared" si="32"/>
        <v>1435.16</v>
      </c>
      <c r="U45" s="157">
        <f t="shared" si="33"/>
        <v>140.02000000000001</v>
      </c>
      <c r="V45" s="129">
        <f t="shared" si="34"/>
        <v>2005.5121725987947</v>
      </c>
      <c r="X45" s="169"/>
    </row>
    <row r="46" spans="2:24" ht="21" x14ac:dyDescent="0.35">
      <c r="B46" s="102" t="s">
        <v>107</v>
      </c>
      <c r="C46" s="179" t="s">
        <v>108</v>
      </c>
      <c r="D46" s="102" t="s">
        <v>109</v>
      </c>
      <c r="E46" s="103">
        <v>7000.8</v>
      </c>
      <c r="F46" s="126">
        <v>15</v>
      </c>
      <c r="G46" s="103"/>
      <c r="H46" s="103"/>
      <c r="I46" s="103"/>
      <c r="J46" s="103"/>
      <c r="K46" s="103">
        <f>E46-I46</f>
        <v>7000.8</v>
      </c>
      <c r="L46" s="103">
        <v>0</v>
      </c>
      <c r="M46" s="103">
        <v>948.11</v>
      </c>
      <c r="N46" s="103">
        <f>M46-L46</f>
        <v>948.11</v>
      </c>
      <c r="O46" s="103">
        <v>0</v>
      </c>
      <c r="P46" s="156">
        <f t="shared" si="29"/>
        <v>805.09</v>
      </c>
      <c r="Q46" s="103">
        <f>SUM(N46:P46)+G46</f>
        <v>1753.2</v>
      </c>
      <c r="R46" s="171">
        <f>K46-Q46</f>
        <v>5247.6</v>
      </c>
      <c r="S46" s="170">
        <v>430.3321725987945</v>
      </c>
      <c r="T46" s="128">
        <f t="shared" si="32"/>
        <v>1435.16</v>
      </c>
      <c r="U46" s="157">
        <f t="shared" si="33"/>
        <v>140.02000000000001</v>
      </c>
      <c r="V46" s="129">
        <f t="shared" si="34"/>
        <v>2005.5121725987947</v>
      </c>
      <c r="X46" s="169"/>
    </row>
    <row r="47" spans="2:24" ht="18.75" x14ac:dyDescent="0.3">
      <c r="B47" s="138" t="s">
        <v>20</v>
      </c>
      <c r="C47" s="132"/>
      <c r="D47" s="133"/>
      <c r="E47" s="134">
        <f>E44+E45+E46</f>
        <v>21445.4</v>
      </c>
      <c r="F47" s="134"/>
      <c r="G47" s="134">
        <f t="shared" ref="G47:V47" si="35">G44+G45+G46</f>
        <v>0</v>
      </c>
      <c r="H47" s="134">
        <f t="shared" si="35"/>
        <v>0</v>
      </c>
      <c r="I47" s="134">
        <f>I44+I45+I46</f>
        <v>0</v>
      </c>
      <c r="J47" s="134">
        <f t="shared" si="35"/>
        <v>0</v>
      </c>
      <c r="K47" s="134">
        <f>K44+K45+K46</f>
        <v>21445.4</v>
      </c>
      <c r="L47" s="134">
        <f t="shared" ref="L47:M47" si="36">L44+L45+L46</f>
        <v>0</v>
      </c>
      <c r="M47" s="134">
        <f t="shared" si="36"/>
        <v>2938.9500000000003</v>
      </c>
      <c r="N47" s="134">
        <f>N44+N45+N46</f>
        <v>2938.9500000000003</v>
      </c>
      <c r="O47" s="134">
        <f t="shared" si="35"/>
        <v>-0.17</v>
      </c>
      <c r="P47" s="134">
        <f>P44+P45+P46</f>
        <v>2466.2200000000003</v>
      </c>
      <c r="Q47" s="134">
        <f t="shared" si="35"/>
        <v>5405</v>
      </c>
      <c r="R47" s="135">
        <f t="shared" si="35"/>
        <v>16040.400000000001</v>
      </c>
      <c r="S47" s="134">
        <f t="shared" si="35"/>
        <v>1303.4299732450777</v>
      </c>
      <c r="T47" s="134">
        <f t="shared" si="35"/>
        <v>4396.3</v>
      </c>
      <c r="U47" s="134">
        <f>U44+U45+U46</f>
        <v>428.91999999999996</v>
      </c>
      <c r="V47" s="134">
        <f t="shared" si="35"/>
        <v>6128.6499732450784</v>
      </c>
      <c r="X47" s="169"/>
    </row>
    <row r="48" spans="2:24" ht="18.75" hidden="1" x14ac:dyDescent="0.3">
      <c r="B48" s="138"/>
      <c r="C48" s="136"/>
      <c r="E48" s="103"/>
      <c r="F48" s="103"/>
      <c r="G48" s="103"/>
      <c r="H48" s="103"/>
      <c r="I48" s="103"/>
      <c r="J48" s="103"/>
      <c r="K48" s="146"/>
      <c r="L48" s="146"/>
      <c r="M48" s="146"/>
      <c r="N48" s="146"/>
      <c r="O48" s="146"/>
      <c r="P48" s="146"/>
      <c r="Q48" s="146"/>
      <c r="R48" s="147"/>
      <c r="S48" s="148"/>
      <c r="T48" s="148"/>
      <c r="U48" s="148"/>
      <c r="V48" s="148"/>
      <c r="X48" s="169"/>
    </row>
    <row r="49" spans="2:24" ht="18.75" x14ac:dyDescent="0.3">
      <c r="B49" s="138" t="s">
        <v>84</v>
      </c>
      <c r="C49" s="132" t="s">
        <v>85</v>
      </c>
      <c r="E49" s="103"/>
      <c r="F49" s="103"/>
      <c r="G49" s="103"/>
      <c r="H49" s="103"/>
      <c r="I49" s="103"/>
      <c r="J49" s="103"/>
      <c r="K49" s="146"/>
      <c r="L49" s="146"/>
      <c r="M49" s="146"/>
      <c r="N49" s="146"/>
      <c r="O49" s="146"/>
      <c r="P49" s="146"/>
      <c r="Q49" s="146"/>
      <c r="R49" s="147"/>
      <c r="S49" s="148"/>
      <c r="T49" s="148"/>
      <c r="U49" s="148"/>
      <c r="V49" s="148"/>
      <c r="X49" s="169"/>
    </row>
    <row r="50" spans="2:24" ht="21" x14ac:dyDescent="0.35">
      <c r="B50" s="102" t="s">
        <v>86</v>
      </c>
      <c r="C50" s="125" t="s">
        <v>30</v>
      </c>
      <c r="D50" s="102" t="s">
        <v>114</v>
      </c>
      <c r="E50" s="103">
        <v>13000</v>
      </c>
      <c r="F50" s="126">
        <v>15</v>
      </c>
      <c r="G50" s="178">
        <v>6105.99</v>
      </c>
      <c r="H50" s="103"/>
      <c r="I50" s="103"/>
      <c r="J50" s="103"/>
      <c r="K50" s="103">
        <f>E50-I50</f>
        <v>13000</v>
      </c>
      <c r="L50" s="103">
        <v>0</v>
      </c>
      <c r="M50" s="103">
        <v>2288.9699999999998</v>
      </c>
      <c r="N50" s="103">
        <f>M50-L50</f>
        <v>2288.9699999999998</v>
      </c>
      <c r="O50" s="103">
        <v>0.03</v>
      </c>
      <c r="P50" s="156">
        <f>ROUND(E50*0.115,2)</f>
        <v>1495</v>
      </c>
      <c r="Q50" s="103">
        <f>SUM(N50:P50)+G50</f>
        <v>9889.99</v>
      </c>
      <c r="R50" s="171">
        <f>K50-Q50</f>
        <v>3110.01</v>
      </c>
      <c r="S50" s="170">
        <v>598.7128888401827</v>
      </c>
      <c r="T50" s="128">
        <f t="shared" ref="T50" si="37">ROUND(+E50*17.5%,2)+ROUND(E50*3%,2)</f>
        <v>2665</v>
      </c>
      <c r="U50" s="157">
        <f>ROUND(+E50*2%,2)</f>
        <v>260</v>
      </c>
      <c r="V50" s="129">
        <f t="shared" ref="V50" si="38">SUM(S50:U50)</f>
        <v>3523.7128888401826</v>
      </c>
      <c r="X50" s="169"/>
    </row>
    <row r="51" spans="2:24" ht="18.75" x14ac:dyDescent="0.3">
      <c r="B51" s="138" t="s">
        <v>20</v>
      </c>
      <c r="E51" s="134">
        <f>E50</f>
        <v>13000</v>
      </c>
      <c r="F51" s="134"/>
      <c r="G51" s="134">
        <f>+G50</f>
        <v>6105.99</v>
      </c>
      <c r="H51" s="134"/>
      <c r="I51" s="134">
        <f>I50</f>
        <v>0</v>
      </c>
      <c r="J51" s="134">
        <f>J50</f>
        <v>0</v>
      </c>
      <c r="K51" s="134">
        <f>K50</f>
        <v>13000</v>
      </c>
      <c r="L51" s="134">
        <f t="shared" ref="L51:V51" si="39">L50</f>
        <v>0</v>
      </c>
      <c r="M51" s="134">
        <f t="shared" si="39"/>
        <v>2288.9699999999998</v>
      </c>
      <c r="N51" s="134">
        <f t="shared" si="39"/>
        <v>2288.9699999999998</v>
      </c>
      <c r="O51" s="134">
        <f t="shared" si="39"/>
        <v>0.03</v>
      </c>
      <c r="P51" s="134">
        <f>P50</f>
        <v>1495</v>
      </c>
      <c r="Q51" s="134">
        <f t="shared" si="39"/>
        <v>9889.99</v>
      </c>
      <c r="R51" s="135">
        <f>R50</f>
        <v>3110.01</v>
      </c>
      <c r="S51" s="134">
        <f t="shared" si="39"/>
        <v>598.7128888401827</v>
      </c>
      <c r="T51" s="134">
        <f t="shared" si="39"/>
        <v>2665</v>
      </c>
      <c r="U51" s="134">
        <f>U50</f>
        <v>260</v>
      </c>
      <c r="V51" s="134">
        <f t="shared" si="39"/>
        <v>3523.7128888401826</v>
      </c>
      <c r="X51" s="169"/>
    </row>
    <row r="52" spans="2:24" ht="12" customHeight="1" x14ac:dyDescent="0.3">
      <c r="B52" s="138"/>
      <c r="E52" s="103"/>
      <c r="F52" s="103"/>
      <c r="G52" s="103"/>
      <c r="H52" s="103"/>
      <c r="I52" s="103"/>
      <c r="J52" s="103"/>
      <c r="K52" s="146"/>
      <c r="L52" s="146"/>
      <c r="M52" s="146"/>
      <c r="N52" s="146"/>
      <c r="O52" s="146"/>
      <c r="P52" s="146"/>
      <c r="Q52" s="146"/>
      <c r="R52" s="147"/>
      <c r="S52" s="148"/>
      <c r="T52" s="148"/>
      <c r="U52" s="148"/>
      <c r="V52" s="148"/>
    </row>
    <row r="53" spans="2:24" ht="18.75" hidden="1" x14ac:dyDescent="0.3">
      <c r="R53" s="149"/>
    </row>
    <row r="54" spans="2:24" ht="18.75" x14ac:dyDescent="0.3">
      <c r="C54" s="150" t="s">
        <v>56</v>
      </c>
      <c r="E54" s="151">
        <f>E9+E20+E27+E41+E47+E51</f>
        <v>219167.75999999998</v>
      </c>
      <c r="F54" s="151"/>
      <c r="G54" s="152">
        <f>G9+G20+G27+G41+G47+G51</f>
        <v>18364.989999999998</v>
      </c>
      <c r="H54" s="151"/>
      <c r="I54" s="151">
        <f t="shared" ref="I54:V54" si="40">I9+I20+I27+I41+I47+I51</f>
        <v>0</v>
      </c>
      <c r="J54" s="151">
        <f t="shared" si="40"/>
        <v>0</v>
      </c>
      <c r="K54" s="151">
        <f t="shared" si="40"/>
        <v>219167.75999999998</v>
      </c>
      <c r="L54" s="151">
        <f t="shared" si="40"/>
        <v>0</v>
      </c>
      <c r="M54" s="151">
        <f t="shared" si="40"/>
        <v>31517.59</v>
      </c>
      <c r="N54" s="151">
        <f t="shared" si="40"/>
        <v>31517.59</v>
      </c>
      <c r="O54" s="151">
        <f t="shared" si="40"/>
        <v>-0.87</v>
      </c>
      <c r="P54" s="152">
        <f>P9+P20+P27+P41+P47+P51</f>
        <v>25204.260000000002</v>
      </c>
      <c r="Q54" s="151">
        <f t="shared" si="40"/>
        <v>75085.970000000016</v>
      </c>
      <c r="R54" s="153">
        <f t="shared" si="40"/>
        <v>144081.79</v>
      </c>
      <c r="S54" s="151">
        <f t="shared" si="40"/>
        <v>12932.76364118359</v>
      </c>
      <c r="T54" s="151">
        <f>T51+T47+T41+T27+T20+T9</f>
        <v>44929.312474999999</v>
      </c>
      <c r="U54" s="152">
        <f>U9+U20+U27+U41+U47+U51</f>
        <v>4383.45</v>
      </c>
      <c r="V54" s="154">
        <f t="shared" si="40"/>
        <v>62245.526116183602</v>
      </c>
    </row>
    <row r="55" spans="2:24" ht="18.75" x14ac:dyDescent="0.3">
      <c r="S55" s="151"/>
      <c r="T55" s="151"/>
    </row>
    <row r="56" spans="2:24" x14ac:dyDescent="0.25">
      <c r="T56" s="103"/>
      <c r="X56" s="169"/>
    </row>
    <row r="63" spans="2:24" ht="16.5" thickBot="1" x14ac:dyDescent="0.3">
      <c r="E63" s="293"/>
      <c r="F63" s="293"/>
      <c r="G63" s="176"/>
      <c r="H63" s="176"/>
      <c r="P63" s="294"/>
      <c r="Q63" s="294"/>
    </row>
    <row r="64" spans="2:24" ht="15" x14ac:dyDescent="0.25">
      <c r="E64" s="295" t="s">
        <v>91</v>
      </c>
      <c r="F64" s="295"/>
      <c r="G64" s="177"/>
      <c r="H64" s="177"/>
      <c r="P64" s="155"/>
      <c r="Q64" s="155"/>
      <c r="R64" s="296" t="s">
        <v>82</v>
      </c>
      <c r="S64" s="296"/>
      <c r="T64" s="176"/>
    </row>
    <row r="68" spans="3:3" x14ac:dyDescent="0.25">
      <c r="C68" s="102" t="s">
        <v>90</v>
      </c>
    </row>
  </sheetData>
  <mergeCells count="5">
    <mergeCell ref="B4:V4"/>
    <mergeCell ref="E63:F63"/>
    <mergeCell ref="P63:Q63"/>
    <mergeCell ref="E64:F64"/>
    <mergeCell ref="R64:S64"/>
  </mergeCells>
  <pageMargins left="0.51181102362204722" right="0.51181102362204722" top="0.15748031496062992" bottom="0.35433070866141736" header="0.31496062992125984" footer="0.31496062992125984"/>
  <pageSetup scale="4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4B976-3226-45CC-874B-4F4C8C98ED70}">
  <sheetPr>
    <pageSetUpPr fitToPage="1"/>
  </sheetPr>
  <dimension ref="B3:X68"/>
  <sheetViews>
    <sheetView topLeftCell="A5" zoomScale="87" zoomScaleNormal="87" workbookViewId="0">
      <selection activeCell="E15" sqref="E15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2.28515625" style="102" customWidth="1"/>
    <col min="8" max="8" width="14.140625" style="102" hidden="1" customWidth="1"/>
    <col min="9" max="10" width="13.28515625" style="102" hidden="1" customWidth="1"/>
    <col min="11" max="11" width="13.28515625" style="102" customWidth="1"/>
    <col min="12" max="12" width="9.42578125" style="102" hidden="1" customWidth="1"/>
    <col min="13" max="13" width="14.42578125" style="102" hidden="1" customWidth="1"/>
    <col min="14" max="14" width="12.7109375" style="102" bestFit="1" customWidth="1"/>
    <col min="15" max="15" width="11.42578125" style="102" customWidth="1"/>
    <col min="16" max="16" width="12.85546875" style="102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4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4" ht="16.5" customHeight="1" x14ac:dyDescent="0.25">
      <c r="B4" s="291" t="s">
        <v>144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4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112" t="s">
        <v>87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4" x14ac:dyDescent="0.25">
      <c r="B6" s="121" t="s">
        <v>13</v>
      </c>
      <c r="C6" s="122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4" ht="21" x14ac:dyDescent="0.35">
      <c r="B7" s="102" t="s">
        <v>15</v>
      </c>
      <c r="C7" s="187" t="s">
        <v>16</v>
      </c>
      <c r="D7" s="102" t="s">
        <v>19</v>
      </c>
      <c r="E7" s="103">
        <v>19461.365000000002</v>
      </c>
      <c r="F7" s="126">
        <v>15</v>
      </c>
      <c r="G7" s="141"/>
      <c r="H7" s="103"/>
      <c r="I7" s="103"/>
      <c r="J7" s="103"/>
      <c r="K7" s="103">
        <f>E7-I7</f>
        <v>19461.365000000002</v>
      </c>
      <c r="L7" s="103">
        <v>0</v>
      </c>
      <c r="M7" s="103">
        <v>4023.06</v>
      </c>
      <c r="N7" s="103">
        <v>3721.35</v>
      </c>
      <c r="O7" s="103">
        <v>-0.04</v>
      </c>
      <c r="P7" s="156">
        <f>ROUND(E7*0.115,2)</f>
        <v>2238.06</v>
      </c>
      <c r="Q7" s="103">
        <f>SUM(N7:P7)+G7</f>
        <v>5959.37</v>
      </c>
      <c r="R7" s="186">
        <f>K7-Q7</f>
        <v>13501.995000000003</v>
      </c>
      <c r="S7" s="170">
        <v>780.06561494516893</v>
      </c>
      <c r="T7" s="128">
        <f>+E7*17.5%+E7*3%</f>
        <v>3989.5798249999998</v>
      </c>
      <c r="U7" s="157">
        <f>ROUND(+E7*2%,2)</f>
        <v>389.23</v>
      </c>
      <c r="V7" s="129">
        <f>SUM(S7:U7)</f>
        <v>5158.8754399451682</v>
      </c>
      <c r="X7" s="169"/>
    </row>
    <row r="8" spans="2:24" ht="21" x14ac:dyDescent="0.35">
      <c r="B8" s="102" t="s">
        <v>17</v>
      </c>
      <c r="C8" s="187" t="s">
        <v>18</v>
      </c>
      <c r="D8" s="102" t="s">
        <v>2</v>
      </c>
      <c r="E8" s="103">
        <v>6247.33</v>
      </c>
      <c r="F8" s="126">
        <v>15</v>
      </c>
      <c r="G8" s="185">
        <v>1000</v>
      </c>
      <c r="H8" s="103"/>
      <c r="I8" s="130"/>
      <c r="J8" s="103"/>
      <c r="K8" s="103">
        <f>E8-I8</f>
        <v>6247.33</v>
      </c>
      <c r="L8" s="103">
        <v>0</v>
      </c>
      <c r="M8" s="103">
        <v>787.17</v>
      </c>
      <c r="N8" s="103">
        <v>696.21</v>
      </c>
      <c r="O8" s="103">
        <v>-0.12</v>
      </c>
      <c r="P8" s="156">
        <f>ROUND(E8*0.115,2)</f>
        <v>718.44</v>
      </c>
      <c r="Q8" s="103">
        <f>SUM(N8:P8)+G8</f>
        <v>2414.5300000000002</v>
      </c>
      <c r="R8" s="186">
        <f>K8-Q8</f>
        <v>3832.7999999999997</v>
      </c>
      <c r="S8" s="170">
        <v>409.18406020865751</v>
      </c>
      <c r="T8" s="128">
        <f>+E8*17.5%+E8*3%</f>
        <v>1280.7026499999997</v>
      </c>
      <c r="U8" s="157">
        <f>ROUND(+E8*2%,2)</f>
        <v>124.95</v>
      </c>
      <c r="V8" s="129">
        <f>SUM(S8:U8)</f>
        <v>1814.8367102086572</v>
      </c>
      <c r="X8" s="169"/>
    </row>
    <row r="9" spans="2:24" ht="18.75" x14ac:dyDescent="0.3">
      <c r="B9" s="131" t="s">
        <v>20</v>
      </c>
      <c r="C9" s="132"/>
      <c r="D9" s="133"/>
      <c r="E9" s="134">
        <f>SUM(E7:E8)</f>
        <v>25708.695</v>
      </c>
      <c r="F9" s="134"/>
      <c r="G9" s="134">
        <f>+G8+G7</f>
        <v>1000</v>
      </c>
      <c r="H9" s="134"/>
      <c r="I9" s="134">
        <f t="shared" ref="I9:V9" si="0">SUM(I7:I8)</f>
        <v>0</v>
      </c>
      <c r="J9" s="134">
        <f t="shared" si="0"/>
        <v>0</v>
      </c>
      <c r="K9" s="134">
        <f t="shared" si="0"/>
        <v>25708.695</v>
      </c>
      <c r="L9" s="134">
        <f t="shared" si="0"/>
        <v>0</v>
      </c>
      <c r="M9" s="134">
        <f>SUM(M7:M8)</f>
        <v>4810.2299999999996</v>
      </c>
      <c r="N9" s="134">
        <f t="shared" si="0"/>
        <v>4417.5599999999995</v>
      </c>
      <c r="O9" s="134">
        <f t="shared" si="0"/>
        <v>-0.16</v>
      </c>
      <c r="P9" s="134">
        <f>SUM(P7:P8)</f>
        <v>2956.5</v>
      </c>
      <c r="Q9" s="134">
        <f t="shared" si="0"/>
        <v>8373.9</v>
      </c>
      <c r="R9" s="135">
        <f>SUM(R7:R8)</f>
        <v>17334.795000000002</v>
      </c>
      <c r="S9" s="134">
        <f t="shared" si="0"/>
        <v>1189.2496751538265</v>
      </c>
      <c r="T9" s="134">
        <f t="shared" si="0"/>
        <v>5270.282475</v>
      </c>
      <c r="U9" s="134">
        <f>SUM(U7:U8)</f>
        <v>514.18000000000006</v>
      </c>
      <c r="V9" s="134">
        <f t="shared" si="0"/>
        <v>6973.7121501538259</v>
      </c>
      <c r="X9" s="169"/>
    </row>
    <row r="10" spans="2:24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4" ht="18.75" x14ac:dyDescent="0.3">
      <c r="B11" s="138" t="s">
        <v>21</v>
      </c>
      <c r="C11" s="132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4" ht="21" x14ac:dyDescent="0.35">
      <c r="B12" s="102" t="s">
        <v>23</v>
      </c>
      <c r="C12" s="187" t="s">
        <v>28</v>
      </c>
      <c r="D12" s="102" t="s">
        <v>114</v>
      </c>
      <c r="E12" s="103">
        <v>13000</v>
      </c>
      <c r="F12" s="126">
        <v>15</v>
      </c>
      <c r="G12" s="185">
        <v>3394</v>
      </c>
      <c r="H12" s="103"/>
      <c r="I12" s="103"/>
      <c r="J12" s="103"/>
      <c r="K12" s="103">
        <f t="shared" ref="K12:K18" si="1">E12-I12</f>
        <v>13000</v>
      </c>
      <c r="L12" s="103">
        <v>0</v>
      </c>
      <c r="M12" s="103">
        <v>2288.9699999999998</v>
      </c>
      <c r="N12" s="103">
        <v>2161.23</v>
      </c>
      <c r="O12" s="103">
        <v>-0.03</v>
      </c>
      <c r="P12" s="156">
        <f t="shared" ref="P12:P19" si="2">ROUND(E12*0.115,2)</f>
        <v>1495</v>
      </c>
      <c r="Q12" s="103">
        <f t="shared" ref="Q12:Q19" si="3">SUM(N12:P12)+G12</f>
        <v>7050.2</v>
      </c>
      <c r="R12" s="186">
        <f t="shared" ref="R12:R19" si="4">K12-Q12</f>
        <v>5949.8</v>
      </c>
      <c r="S12" s="29">
        <v>598.71347263900634</v>
      </c>
      <c r="T12" s="128">
        <f>ROUND(+E12*17.5%,2)+ROUND(E12*3%,2)</f>
        <v>2665</v>
      </c>
      <c r="U12" s="157">
        <f t="shared" ref="U12:U19" si="5">ROUND(+E12*2%,2)</f>
        <v>260</v>
      </c>
      <c r="V12" s="129">
        <f t="shared" ref="V12:V19" si="6">SUM(S12:U12)</f>
        <v>3523.7134726390063</v>
      </c>
      <c r="X12" s="169"/>
    </row>
    <row r="13" spans="2:24" ht="21" x14ac:dyDescent="0.35">
      <c r="B13" s="102" t="s">
        <v>24</v>
      </c>
      <c r="C13" s="187" t="s">
        <v>29</v>
      </c>
      <c r="D13" s="102" t="s">
        <v>116</v>
      </c>
      <c r="E13" s="103">
        <v>7000.8</v>
      </c>
      <c r="F13" s="126">
        <v>15</v>
      </c>
      <c r="G13" s="103"/>
      <c r="H13" s="103"/>
      <c r="I13" s="139"/>
      <c r="J13" s="140"/>
      <c r="K13" s="103">
        <f>E13-I13</f>
        <v>7000.8</v>
      </c>
      <c r="L13" s="103">
        <v>0</v>
      </c>
      <c r="M13" s="103">
        <v>948.11</v>
      </c>
      <c r="N13" s="103">
        <v>857.15</v>
      </c>
      <c r="O13" s="103">
        <v>-0.04</v>
      </c>
      <c r="P13" s="156">
        <f t="shared" si="2"/>
        <v>805.09</v>
      </c>
      <c r="Q13" s="103">
        <f t="shared" si="3"/>
        <v>1662.2</v>
      </c>
      <c r="R13" s="186">
        <f t="shared" si="4"/>
        <v>5338.6</v>
      </c>
      <c r="S13" s="29">
        <v>430.3321725987945</v>
      </c>
      <c r="T13" s="128">
        <f t="shared" ref="T13:T19" si="7">ROUND(+E13*17.5%,2)+ROUND(E13*3%,2)</f>
        <v>1435.16</v>
      </c>
      <c r="U13" s="157">
        <f t="shared" si="5"/>
        <v>140.02000000000001</v>
      </c>
      <c r="V13" s="129">
        <f t="shared" si="6"/>
        <v>2005.5121725987947</v>
      </c>
      <c r="X13" s="169"/>
    </row>
    <row r="14" spans="2:24" ht="21" x14ac:dyDescent="0.35">
      <c r="B14" s="102" t="s">
        <v>25</v>
      </c>
      <c r="C14" s="187" t="s">
        <v>92</v>
      </c>
      <c r="D14" s="102" t="s">
        <v>115</v>
      </c>
      <c r="E14" s="103">
        <v>7000.8</v>
      </c>
      <c r="F14" s="126">
        <v>15</v>
      </c>
      <c r="G14" s="103"/>
      <c r="H14" s="141"/>
      <c r="I14" s="139"/>
      <c r="J14" s="140"/>
      <c r="K14" s="103">
        <f>E14-I14</f>
        <v>7000.8</v>
      </c>
      <c r="L14" s="103">
        <v>0</v>
      </c>
      <c r="M14" s="103">
        <v>948.11</v>
      </c>
      <c r="N14" s="103">
        <v>857.15</v>
      </c>
      <c r="O14" s="103">
        <v>-0.04</v>
      </c>
      <c r="P14" s="156">
        <f>ROUND(E14*0.115,2)</f>
        <v>805.09</v>
      </c>
      <c r="Q14" s="103">
        <f>SUM(N14:P14)+G14</f>
        <v>1662.2</v>
      </c>
      <c r="R14" s="186">
        <f>K14-Q14</f>
        <v>5338.6</v>
      </c>
      <c r="S14" s="29">
        <v>430.3321725987945</v>
      </c>
      <c r="T14" s="128">
        <f t="shared" si="7"/>
        <v>1435.16</v>
      </c>
      <c r="U14" s="157">
        <f t="shared" si="5"/>
        <v>140.02000000000001</v>
      </c>
      <c r="V14" s="129">
        <f t="shared" si="6"/>
        <v>2005.5121725987947</v>
      </c>
      <c r="X14" s="169"/>
    </row>
    <row r="15" spans="2:24" ht="21" x14ac:dyDescent="0.35">
      <c r="B15" s="102" t="s">
        <v>26</v>
      </c>
      <c r="C15" s="187" t="s">
        <v>58</v>
      </c>
      <c r="D15" s="102" t="s">
        <v>37</v>
      </c>
      <c r="E15" s="103">
        <v>7443.8</v>
      </c>
      <c r="F15" s="126">
        <v>15</v>
      </c>
      <c r="G15" s="103"/>
      <c r="H15" s="103"/>
      <c r="I15" s="139"/>
      <c r="J15" s="103"/>
      <c r="K15" s="103">
        <f t="shared" si="1"/>
        <v>7443.8</v>
      </c>
      <c r="L15" s="103">
        <v>0</v>
      </c>
      <c r="M15" s="103">
        <v>1042.73</v>
      </c>
      <c r="N15" s="103">
        <v>951.78</v>
      </c>
      <c r="O15" s="103">
        <v>-0.02</v>
      </c>
      <c r="P15" s="156">
        <f t="shared" si="2"/>
        <v>856.04</v>
      </c>
      <c r="Q15" s="103">
        <f t="shared" si="3"/>
        <v>1807.8</v>
      </c>
      <c r="R15" s="186">
        <f t="shared" si="4"/>
        <v>5636</v>
      </c>
      <c r="S15" s="29">
        <v>442.76562804748858</v>
      </c>
      <c r="T15" s="128">
        <f t="shared" si="7"/>
        <v>1525.98</v>
      </c>
      <c r="U15" s="157">
        <f t="shared" si="5"/>
        <v>148.88</v>
      </c>
      <c r="V15" s="129">
        <f t="shared" si="6"/>
        <v>2117.6256280474886</v>
      </c>
      <c r="X15" s="169"/>
    </row>
    <row r="16" spans="2:24" ht="21" x14ac:dyDescent="0.35">
      <c r="B16" s="102" t="s">
        <v>27</v>
      </c>
      <c r="C16" s="187" t="s">
        <v>40</v>
      </c>
      <c r="D16" s="102" t="s">
        <v>117</v>
      </c>
      <c r="E16" s="103">
        <v>4918.3649999999998</v>
      </c>
      <c r="F16" s="126">
        <v>15</v>
      </c>
      <c r="G16" s="185">
        <v>2050</v>
      </c>
      <c r="H16" s="103"/>
      <c r="I16" s="139"/>
      <c r="J16" s="103"/>
      <c r="K16" s="103">
        <f>E16-I16</f>
        <v>4918.3649999999998</v>
      </c>
      <c r="L16" s="103">
        <v>0</v>
      </c>
      <c r="M16" s="103">
        <v>508.91</v>
      </c>
      <c r="N16" s="103">
        <v>447.61</v>
      </c>
      <c r="O16" s="103">
        <v>-0.05</v>
      </c>
      <c r="P16" s="156">
        <f>ROUND(E16*0.115,2)</f>
        <v>565.61</v>
      </c>
      <c r="Q16" s="103">
        <f>SUM(N16:P16)+G16</f>
        <v>3063.17</v>
      </c>
      <c r="R16" s="186">
        <f t="shared" si="4"/>
        <v>1855.1949999999997</v>
      </c>
      <c r="S16" s="29">
        <v>371.88369386257529</v>
      </c>
      <c r="T16" s="128">
        <f t="shared" si="7"/>
        <v>1008.26</v>
      </c>
      <c r="U16" s="157">
        <f t="shared" si="5"/>
        <v>98.37</v>
      </c>
      <c r="V16" s="129">
        <f t="shared" si="6"/>
        <v>1478.5136938625751</v>
      </c>
      <c r="X16" s="169"/>
    </row>
    <row r="17" spans="2:24" ht="21" x14ac:dyDescent="0.35">
      <c r="B17" s="102" t="s">
        <v>60</v>
      </c>
      <c r="C17" s="187" t="s">
        <v>41</v>
      </c>
      <c r="D17" s="102" t="s">
        <v>118</v>
      </c>
      <c r="E17" s="103">
        <v>4918.3649999999998</v>
      </c>
      <c r="F17" s="126">
        <v>15</v>
      </c>
      <c r="G17" s="185">
        <v>1106.6199999999999</v>
      </c>
      <c r="H17" s="103"/>
      <c r="I17" s="139"/>
      <c r="J17" s="103"/>
      <c r="K17" s="103">
        <f>E17-I17</f>
        <v>4918.3649999999998</v>
      </c>
      <c r="L17" s="103">
        <v>0</v>
      </c>
      <c r="M17" s="103">
        <v>508.91</v>
      </c>
      <c r="N17" s="103">
        <v>447.61</v>
      </c>
      <c r="O17" s="103">
        <v>0.13</v>
      </c>
      <c r="P17" s="156">
        <f t="shared" si="2"/>
        <v>565.61</v>
      </c>
      <c r="Q17" s="103">
        <f>SUM(N17:P17)+G17</f>
        <v>2119.9699999999998</v>
      </c>
      <c r="R17" s="186">
        <f>K17-Q17</f>
        <v>2798.395</v>
      </c>
      <c r="S17" s="29">
        <v>371.88369386257529</v>
      </c>
      <c r="T17" s="128">
        <f t="shared" si="7"/>
        <v>1008.26</v>
      </c>
      <c r="U17" s="157">
        <f t="shared" si="5"/>
        <v>98.37</v>
      </c>
      <c r="V17" s="129">
        <f t="shared" si="6"/>
        <v>1478.5136938625751</v>
      </c>
      <c r="X17" s="169"/>
    </row>
    <row r="18" spans="2:24" ht="21" x14ac:dyDescent="0.35">
      <c r="B18" s="102" t="s">
        <v>61</v>
      </c>
      <c r="C18" s="187" t="s">
        <v>43</v>
      </c>
      <c r="D18" s="102" t="s">
        <v>3</v>
      </c>
      <c r="E18" s="103">
        <v>4358.17</v>
      </c>
      <c r="F18" s="126">
        <v>15</v>
      </c>
      <c r="G18" s="185">
        <v>969</v>
      </c>
      <c r="H18" s="103"/>
      <c r="I18" s="103"/>
      <c r="J18" s="103"/>
      <c r="K18" s="103">
        <f t="shared" si="1"/>
        <v>4358.17</v>
      </c>
      <c r="L18" s="103"/>
      <c r="M18" s="103">
        <v>408.52</v>
      </c>
      <c r="N18" s="103">
        <v>357.97</v>
      </c>
      <c r="O18" s="103">
        <v>0.01</v>
      </c>
      <c r="P18" s="156">
        <f t="shared" si="2"/>
        <v>501.19</v>
      </c>
      <c r="Q18" s="103">
        <f t="shared" si="3"/>
        <v>1828.17</v>
      </c>
      <c r="R18" s="186">
        <f t="shared" si="4"/>
        <v>2530</v>
      </c>
      <c r="S18" s="29">
        <v>356.16053204208214</v>
      </c>
      <c r="T18" s="128">
        <f t="shared" si="7"/>
        <v>893.43</v>
      </c>
      <c r="U18" s="157">
        <f t="shared" si="5"/>
        <v>87.16</v>
      </c>
      <c r="V18" s="129">
        <f t="shared" si="6"/>
        <v>1336.7505320420821</v>
      </c>
      <c r="X18" s="169"/>
    </row>
    <row r="19" spans="2:24" ht="21" x14ac:dyDescent="0.35">
      <c r="B19" s="102" t="s">
        <v>62</v>
      </c>
      <c r="C19" s="187" t="s">
        <v>42</v>
      </c>
      <c r="D19" s="102" t="s">
        <v>119</v>
      </c>
      <c r="E19" s="103">
        <v>4918.3649999999998</v>
      </c>
      <c r="F19" s="126">
        <v>15</v>
      </c>
      <c r="G19" s="185">
        <v>1213.4000000000001</v>
      </c>
      <c r="H19" s="130"/>
      <c r="I19" s="139"/>
      <c r="J19" s="103"/>
      <c r="K19" s="103">
        <f>E19-I19+H19</f>
        <v>4918.3649999999998</v>
      </c>
      <c r="L19" s="103"/>
      <c r="M19" s="103">
        <v>508.91</v>
      </c>
      <c r="N19" s="103">
        <v>447.61</v>
      </c>
      <c r="O19" s="103">
        <v>0.15</v>
      </c>
      <c r="P19" s="156">
        <f t="shared" si="2"/>
        <v>565.61</v>
      </c>
      <c r="Q19" s="103">
        <f t="shared" si="3"/>
        <v>2226.77</v>
      </c>
      <c r="R19" s="186">
        <f t="shared" si="4"/>
        <v>2691.5949999999998</v>
      </c>
      <c r="S19" s="29">
        <v>371.88369386257529</v>
      </c>
      <c r="T19" s="128">
        <f t="shared" si="7"/>
        <v>1008.26</v>
      </c>
      <c r="U19" s="157">
        <f t="shared" si="5"/>
        <v>98.37</v>
      </c>
      <c r="V19" s="129">
        <f t="shared" si="6"/>
        <v>1478.5136938625751</v>
      </c>
      <c r="X19" s="169"/>
    </row>
    <row r="20" spans="2:24" ht="18.75" x14ac:dyDescent="0.3">
      <c r="B20" s="138" t="s">
        <v>20</v>
      </c>
      <c r="C20" s="132"/>
      <c r="D20" s="133"/>
      <c r="E20" s="134">
        <f>SUM(E12:E19)</f>
        <v>53558.664999999994</v>
      </c>
      <c r="F20" s="134"/>
      <c r="G20" s="134">
        <f>+G19+G18+G17+G16+G12</f>
        <v>8733.02</v>
      </c>
      <c r="H20" s="134"/>
      <c r="I20" s="134">
        <f t="shared" ref="I20:V20" si="8">SUM(I12:I19)</f>
        <v>0</v>
      </c>
      <c r="J20" s="134">
        <f t="shared" si="8"/>
        <v>0</v>
      </c>
      <c r="K20" s="134">
        <f t="shared" si="8"/>
        <v>53558.664999999994</v>
      </c>
      <c r="L20" s="134">
        <f t="shared" ref="L20" si="9">SUM(L12:L19)</f>
        <v>0</v>
      </c>
      <c r="M20" s="134">
        <f>SUM(M12:M19)</f>
        <v>7163.17</v>
      </c>
      <c r="N20" s="134">
        <f t="shared" si="8"/>
        <v>6528.11</v>
      </c>
      <c r="O20" s="134">
        <f t="shared" si="8"/>
        <v>0.11000000000000001</v>
      </c>
      <c r="P20" s="134">
        <f>SUM(P12:P19)</f>
        <v>6159.2399999999989</v>
      </c>
      <c r="Q20" s="134">
        <f t="shared" si="8"/>
        <v>21420.48</v>
      </c>
      <c r="R20" s="135">
        <f>SUM(R12:R19)</f>
        <v>32138.185000000001</v>
      </c>
      <c r="S20" s="134">
        <f t="shared" si="8"/>
        <v>3373.9550595138921</v>
      </c>
      <c r="T20" s="134">
        <f t="shared" si="8"/>
        <v>10979.51</v>
      </c>
      <c r="U20" s="134">
        <f>SUM(U12:U19)</f>
        <v>1071.19</v>
      </c>
      <c r="V20" s="134">
        <f t="shared" si="8"/>
        <v>15424.655059513891</v>
      </c>
      <c r="X20" s="169"/>
    </row>
    <row r="21" spans="2:24" ht="18.75" hidden="1" x14ac:dyDescent="0.3">
      <c r="B21" s="138"/>
      <c r="C21" s="136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37"/>
      <c r="X21" s="169"/>
    </row>
    <row r="22" spans="2:24" ht="18.75" x14ac:dyDescent="0.3">
      <c r="B22" s="138" t="s">
        <v>31</v>
      </c>
      <c r="C22" s="132" t="s">
        <v>83</v>
      </c>
      <c r="E22" s="103"/>
      <c r="F22" s="103"/>
      <c r="G22" s="103"/>
      <c r="H22" s="103"/>
      <c r="I22" s="103"/>
      <c r="J22" s="103"/>
      <c r="K22" s="142"/>
      <c r="L22" s="142"/>
      <c r="M22" s="103"/>
      <c r="N22" s="103"/>
      <c r="O22" s="103"/>
      <c r="P22" s="103"/>
      <c r="Q22" s="103"/>
      <c r="R22" s="137"/>
      <c r="X22" s="169"/>
    </row>
    <row r="23" spans="2:24" ht="21" x14ac:dyDescent="0.35">
      <c r="B23" s="102" t="s">
        <v>63</v>
      </c>
      <c r="C23" s="187" t="s">
        <v>110</v>
      </c>
      <c r="D23" s="158" t="s">
        <v>132</v>
      </c>
      <c r="E23" s="103">
        <v>7000.8</v>
      </c>
      <c r="F23" s="126">
        <v>15</v>
      </c>
      <c r="G23" s="103"/>
      <c r="H23" s="103"/>
      <c r="I23" s="103"/>
      <c r="J23" s="103"/>
      <c r="K23" s="103">
        <f>E23-I23</f>
        <v>7000.8</v>
      </c>
      <c r="L23" s="103">
        <v>0</v>
      </c>
      <c r="M23" s="103">
        <v>948.11</v>
      </c>
      <c r="N23" s="103">
        <v>857.15</v>
      </c>
      <c r="O23" s="103">
        <v>-0.04</v>
      </c>
      <c r="P23" s="156">
        <f>ROUND(E23*0.115,2)</f>
        <v>805.09</v>
      </c>
      <c r="Q23" s="103">
        <f t="shared" ref="Q23:Q24" si="10">SUM(N23:P23)+G23</f>
        <v>1662.2</v>
      </c>
      <c r="R23" s="186">
        <f>K23-Q23</f>
        <v>5338.6</v>
      </c>
      <c r="S23" s="170">
        <v>430.3321725987945</v>
      </c>
      <c r="T23" s="128">
        <f t="shared" ref="T23:T26" si="11">ROUND(+E23*17.5%,2)+ROUND(E23*3%,2)</f>
        <v>1435.16</v>
      </c>
      <c r="U23" s="157">
        <f t="shared" ref="U23:U26" si="12">ROUND(+E23*2%,2)</f>
        <v>140.02000000000001</v>
      </c>
      <c r="V23" s="129">
        <f t="shared" ref="V23:V24" si="13">SUM(S23:U23)</f>
        <v>2005.5121725987947</v>
      </c>
      <c r="X23" s="169"/>
    </row>
    <row r="24" spans="2:24" ht="21" x14ac:dyDescent="0.35">
      <c r="B24" s="102" t="s">
        <v>112</v>
      </c>
      <c r="C24" s="187" t="s">
        <v>113</v>
      </c>
      <c r="D24" s="158" t="s">
        <v>133</v>
      </c>
      <c r="E24" s="103">
        <v>7000.8</v>
      </c>
      <c r="F24" s="126">
        <v>15</v>
      </c>
      <c r="G24" s="103"/>
      <c r="H24" s="103"/>
      <c r="I24" s="103"/>
      <c r="J24" s="103"/>
      <c r="K24" s="103">
        <f>E24-I24</f>
        <v>7000.8</v>
      </c>
      <c r="L24" s="103">
        <v>0</v>
      </c>
      <c r="M24" s="103">
        <v>948.11</v>
      </c>
      <c r="N24" s="103">
        <v>857.15</v>
      </c>
      <c r="O24" s="103">
        <v>-0.04</v>
      </c>
      <c r="P24" s="156">
        <f>ROUND(E24*0.115,2)</f>
        <v>805.09</v>
      </c>
      <c r="Q24" s="103">
        <f t="shared" si="10"/>
        <v>1662.2</v>
      </c>
      <c r="R24" s="186">
        <f>K24-Q24</f>
        <v>5338.6</v>
      </c>
      <c r="S24" s="170">
        <v>430.3321725987945</v>
      </c>
      <c r="T24" s="128">
        <f t="shared" si="11"/>
        <v>1435.16</v>
      </c>
      <c r="U24" s="157">
        <f t="shared" si="12"/>
        <v>140.02000000000001</v>
      </c>
      <c r="V24" s="129">
        <f t="shared" si="13"/>
        <v>2005.5121725987947</v>
      </c>
      <c r="X24" s="169"/>
    </row>
    <row r="25" spans="2:24" ht="21" x14ac:dyDescent="0.35">
      <c r="B25" s="102" t="s">
        <v>64</v>
      </c>
      <c r="C25" s="187" t="s">
        <v>45</v>
      </c>
      <c r="D25" s="102" t="s">
        <v>122</v>
      </c>
      <c r="E25" s="103">
        <v>7000.8</v>
      </c>
      <c r="F25" s="126">
        <v>15</v>
      </c>
      <c r="G25" s="141"/>
      <c r="H25" s="103"/>
      <c r="I25" s="143"/>
      <c r="J25" s="103"/>
      <c r="K25" s="103">
        <f>E25-I25</f>
        <v>7000.8</v>
      </c>
      <c r="L25" s="103">
        <v>0</v>
      </c>
      <c r="M25" s="103">
        <v>948.11</v>
      </c>
      <c r="N25" s="103">
        <v>857.15</v>
      </c>
      <c r="O25" s="103">
        <v>-0.04</v>
      </c>
      <c r="P25" s="156">
        <f>ROUND(E25*0.115,2)</f>
        <v>805.09</v>
      </c>
      <c r="Q25" s="103">
        <f>SUM(N25:P25)+G25</f>
        <v>1662.2</v>
      </c>
      <c r="R25" s="186">
        <f>K25-Q25</f>
        <v>5338.6</v>
      </c>
      <c r="S25" s="170">
        <v>430.3321725987945</v>
      </c>
      <c r="T25" s="128">
        <f t="shared" si="11"/>
        <v>1435.16</v>
      </c>
      <c r="U25" s="157">
        <f t="shared" si="12"/>
        <v>140.02000000000001</v>
      </c>
      <c r="V25" s="129">
        <f>SUM(S25:U25)</f>
        <v>2005.5121725987947</v>
      </c>
      <c r="X25" s="169"/>
    </row>
    <row r="26" spans="2:24" ht="21" x14ac:dyDescent="0.35">
      <c r="B26" s="102" t="s">
        <v>65</v>
      </c>
      <c r="C26" s="187" t="s">
        <v>59</v>
      </c>
      <c r="D26" s="158" t="s">
        <v>134</v>
      </c>
      <c r="E26" s="103">
        <v>7000.8</v>
      </c>
      <c r="F26" s="126">
        <v>15</v>
      </c>
      <c r="G26" s="185">
        <v>1189</v>
      </c>
      <c r="H26" s="130"/>
      <c r="I26" s="130"/>
      <c r="J26" s="103"/>
      <c r="K26" s="103">
        <f>E26-I26+H26</f>
        <v>7000.8</v>
      </c>
      <c r="L26" s="103">
        <v>0</v>
      </c>
      <c r="M26" s="103">
        <v>948.11</v>
      </c>
      <c r="N26" s="103">
        <v>857.15</v>
      </c>
      <c r="O26" s="103">
        <v>0.16</v>
      </c>
      <c r="P26" s="156">
        <f>ROUND(E26*0.115,2)</f>
        <v>805.09</v>
      </c>
      <c r="Q26" s="103">
        <f>SUM(N26:P26)+G26</f>
        <v>2851.4</v>
      </c>
      <c r="R26" s="186">
        <f>K26-Q26</f>
        <v>4149.3999999999996</v>
      </c>
      <c r="S26" s="170">
        <v>430.3321725987945</v>
      </c>
      <c r="T26" s="128">
        <f t="shared" si="11"/>
        <v>1435.16</v>
      </c>
      <c r="U26" s="157">
        <f t="shared" si="12"/>
        <v>140.02000000000001</v>
      </c>
      <c r="V26" s="129">
        <f>SUM(S26:U26)</f>
        <v>2005.5121725987947</v>
      </c>
      <c r="X26" s="169"/>
    </row>
    <row r="27" spans="2:24" ht="18.75" x14ac:dyDescent="0.3">
      <c r="B27" s="138" t="s">
        <v>20</v>
      </c>
      <c r="C27" s="132"/>
      <c r="D27" s="133"/>
      <c r="E27" s="134">
        <f>SUM(E23:E26)</f>
        <v>28003.200000000001</v>
      </c>
      <c r="F27" s="134"/>
      <c r="G27" s="134">
        <f>+G26+G25+G23+G24</f>
        <v>1189</v>
      </c>
      <c r="H27" s="134"/>
      <c r="I27" s="134">
        <f t="shared" ref="I27:N27" si="14">SUM(I23:I26)</f>
        <v>0</v>
      </c>
      <c r="J27" s="134">
        <f t="shared" si="14"/>
        <v>0</v>
      </c>
      <c r="K27" s="134">
        <f t="shared" si="14"/>
        <v>28003.200000000001</v>
      </c>
      <c r="L27" s="134">
        <f t="shared" ref="L27" si="15">SUM(L23:L26)</f>
        <v>0</v>
      </c>
      <c r="M27" s="134">
        <f>SUM(M23:M26)</f>
        <v>3792.44</v>
      </c>
      <c r="N27" s="134">
        <f t="shared" si="14"/>
        <v>3428.6</v>
      </c>
      <c r="O27" s="134">
        <f t="shared" ref="O27:Q27" si="16">SUM(O23:O26)</f>
        <v>4.0000000000000008E-2</v>
      </c>
      <c r="P27" s="134">
        <f>SUM(P23:P26)</f>
        <v>3220.36</v>
      </c>
      <c r="Q27" s="134">
        <f t="shared" si="16"/>
        <v>7838</v>
      </c>
      <c r="R27" s="135">
        <f>SUM(R23:R26)</f>
        <v>20165.2</v>
      </c>
      <c r="S27" s="134">
        <f>SUM(S23:S26)</f>
        <v>1721.328690395178</v>
      </c>
      <c r="T27" s="134">
        <f>SUM(T23:T26)</f>
        <v>5740.64</v>
      </c>
      <c r="U27" s="134">
        <f>SUM(U23:U26)</f>
        <v>560.08000000000004</v>
      </c>
      <c r="V27" s="134">
        <f>SUM(V23:V26)</f>
        <v>8022.0486903951787</v>
      </c>
      <c r="X27" s="169"/>
    </row>
    <row r="28" spans="2:24" ht="18.75" hidden="1" x14ac:dyDescent="0.3">
      <c r="C28" s="136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37"/>
      <c r="X28" s="169"/>
    </row>
    <row r="29" spans="2:24" ht="18.75" x14ac:dyDescent="0.3">
      <c r="B29" s="138" t="s">
        <v>33</v>
      </c>
      <c r="C29" s="132" t="s">
        <v>32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37"/>
      <c r="X29" s="169"/>
    </row>
    <row r="30" spans="2:24" ht="21" x14ac:dyDescent="0.35">
      <c r="B30" s="102" t="s">
        <v>66</v>
      </c>
      <c r="C30" s="187" t="s">
        <v>49</v>
      </c>
      <c r="D30" s="158" t="s">
        <v>128</v>
      </c>
      <c r="E30" s="103">
        <v>7000.8</v>
      </c>
      <c r="F30" s="126">
        <v>15</v>
      </c>
      <c r="G30" s="103"/>
      <c r="H30" s="103"/>
      <c r="I30" s="144"/>
      <c r="J30" s="103"/>
      <c r="K30" s="103">
        <f t="shared" ref="K30:K37" si="17">E30-I30</f>
        <v>7000.8</v>
      </c>
      <c r="L30" s="103">
        <v>0</v>
      </c>
      <c r="M30" s="103">
        <v>948.11</v>
      </c>
      <c r="N30" s="103">
        <v>857.15</v>
      </c>
      <c r="O30" s="103">
        <v>-0.04</v>
      </c>
      <c r="P30" s="156">
        <f>ROUND(E30*0.115,2)</f>
        <v>805.09</v>
      </c>
      <c r="Q30" s="103">
        <f t="shared" ref="Q30:Q40" si="18">SUM(N30:P30)+G30</f>
        <v>1662.2</v>
      </c>
      <c r="R30" s="186">
        <f t="shared" ref="R30:R38" si="19">K30-Q30</f>
        <v>5338.6</v>
      </c>
      <c r="S30" s="170">
        <v>430.3321725987945</v>
      </c>
      <c r="T30" s="128">
        <f t="shared" ref="T30:T40" si="20">ROUND(+E30*17.5%,2)+ROUND(E30*3%,2)</f>
        <v>1435.16</v>
      </c>
      <c r="U30" s="157">
        <f t="shared" ref="U30:U40" si="21">ROUND(+E30*2%,2)</f>
        <v>140.02000000000001</v>
      </c>
      <c r="V30" s="129">
        <f>SUM(S30:U30)</f>
        <v>2005.5121725987947</v>
      </c>
      <c r="X30" s="169"/>
    </row>
    <row r="31" spans="2:24" ht="21" x14ac:dyDescent="0.35">
      <c r="B31" s="102" t="s">
        <v>67</v>
      </c>
      <c r="C31" s="187" t="s">
        <v>51</v>
      </c>
      <c r="D31" s="158" t="s">
        <v>135</v>
      </c>
      <c r="E31" s="103">
        <v>7000.8</v>
      </c>
      <c r="F31" s="126">
        <v>15</v>
      </c>
      <c r="G31" s="141"/>
      <c r="H31" s="103"/>
      <c r="I31" s="130"/>
      <c r="J31" s="141"/>
      <c r="K31" s="141">
        <f t="shared" si="17"/>
        <v>7000.8</v>
      </c>
      <c r="L31" s="141">
        <v>0</v>
      </c>
      <c r="M31" s="103">
        <v>948.11</v>
      </c>
      <c r="N31" s="103">
        <v>857.15</v>
      </c>
      <c r="O31" s="103">
        <v>-0.04</v>
      </c>
      <c r="P31" s="156">
        <f t="shared" ref="P31:P40" si="22">ROUND(E31*0.115,2)</f>
        <v>805.09</v>
      </c>
      <c r="Q31" s="103">
        <f>SUM(N31:P31)+G31</f>
        <v>1662.2</v>
      </c>
      <c r="R31" s="186">
        <f t="shared" si="19"/>
        <v>5338.6</v>
      </c>
      <c r="S31" s="170">
        <v>430.3321725987945</v>
      </c>
      <c r="T31" s="128">
        <f t="shared" si="20"/>
        <v>1435.16</v>
      </c>
      <c r="U31" s="157">
        <f t="shared" si="21"/>
        <v>140.02000000000001</v>
      </c>
      <c r="V31" s="129">
        <f>SUM(S31:U31)</f>
        <v>2005.5121725987947</v>
      </c>
      <c r="X31" s="169"/>
    </row>
    <row r="32" spans="2:24" ht="21" x14ac:dyDescent="0.35">
      <c r="B32" s="102" t="s">
        <v>68</v>
      </c>
      <c r="C32" s="187" t="s">
        <v>48</v>
      </c>
      <c r="D32" s="102" t="s">
        <v>123</v>
      </c>
      <c r="E32" s="103">
        <v>7443.8</v>
      </c>
      <c r="F32" s="126">
        <v>15</v>
      </c>
      <c r="G32" s="103"/>
      <c r="H32" s="103"/>
      <c r="I32" s="130"/>
      <c r="J32" s="103"/>
      <c r="K32" s="103">
        <f t="shared" si="17"/>
        <v>7443.8</v>
      </c>
      <c r="L32" s="103">
        <v>0</v>
      </c>
      <c r="M32" s="103">
        <v>1042.73</v>
      </c>
      <c r="N32" s="103">
        <v>951.78</v>
      </c>
      <c r="O32" s="103">
        <v>-0.02</v>
      </c>
      <c r="P32" s="156">
        <f t="shared" si="22"/>
        <v>856.04</v>
      </c>
      <c r="Q32" s="103">
        <f t="shared" si="18"/>
        <v>1807.8</v>
      </c>
      <c r="R32" s="186">
        <f t="shared" si="19"/>
        <v>5636</v>
      </c>
      <c r="S32" s="170">
        <v>442.76562804748858</v>
      </c>
      <c r="T32" s="128">
        <f t="shared" si="20"/>
        <v>1525.98</v>
      </c>
      <c r="U32" s="157">
        <f>ROUND(+E32*2%,2)</f>
        <v>148.88</v>
      </c>
      <c r="V32" s="129">
        <f t="shared" ref="V32:V40" si="23">SUM(S32:U32)</f>
        <v>2117.6256280474886</v>
      </c>
      <c r="X32" s="169"/>
    </row>
    <row r="33" spans="2:24" ht="21" x14ac:dyDescent="0.35">
      <c r="B33" s="102" t="s">
        <v>77</v>
      </c>
      <c r="C33" s="187" t="s">
        <v>111</v>
      </c>
      <c r="D33" s="102" t="s">
        <v>127</v>
      </c>
      <c r="E33" s="103">
        <v>7000.8</v>
      </c>
      <c r="F33" s="126">
        <v>15</v>
      </c>
      <c r="G33" s="185">
        <v>1167</v>
      </c>
      <c r="H33" s="103"/>
      <c r="I33" s="144"/>
      <c r="J33" s="103"/>
      <c r="K33" s="103">
        <f>E33-I33</f>
        <v>7000.8</v>
      </c>
      <c r="L33" s="103">
        <v>0</v>
      </c>
      <c r="M33" s="103">
        <v>948.11</v>
      </c>
      <c r="N33" s="103">
        <v>857.15</v>
      </c>
      <c r="O33" s="103">
        <v>-0.04</v>
      </c>
      <c r="P33" s="156">
        <f t="shared" si="22"/>
        <v>805.09</v>
      </c>
      <c r="Q33" s="103">
        <f>SUM(N33:P33)+G33</f>
        <v>2829.2</v>
      </c>
      <c r="R33" s="186">
        <f>K33-Q33</f>
        <v>4171.6000000000004</v>
      </c>
      <c r="S33" s="170">
        <v>430.3321725987945</v>
      </c>
      <c r="T33" s="128">
        <f t="shared" si="20"/>
        <v>1435.16</v>
      </c>
      <c r="U33" s="157">
        <f t="shared" si="21"/>
        <v>140.02000000000001</v>
      </c>
      <c r="V33" s="129">
        <f t="shared" si="23"/>
        <v>2005.5121725987947</v>
      </c>
      <c r="X33" s="169"/>
    </row>
    <row r="34" spans="2:24" ht="21" x14ac:dyDescent="0.35">
      <c r="B34" s="102" t="s">
        <v>70</v>
      </c>
      <c r="C34" s="187" t="s">
        <v>46</v>
      </c>
      <c r="D34" s="102" t="s">
        <v>124</v>
      </c>
      <c r="E34" s="103">
        <v>7000.8</v>
      </c>
      <c r="F34" s="126">
        <v>15</v>
      </c>
      <c r="G34" s="185">
        <v>572.98</v>
      </c>
      <c r="H34" s="103"/>
      <c r="I34" s="139"/>
      <c r="J34" s="141"/>
      <c r="K34" s="141">
        <f t="shared" si="17"/>
        <v>7000.8</v>
      </c>
      <c r="L34" s="141">
        <v>0</v>
      </c>
      <c r="M34" s="103">
        <v>948.11</v>
      </c>
      <c r="N34" s="103">
        <v>857.15</v>
      </c>
      <c r="O34" s="103">
        <v>-0.02</v>
      </c>
      <c r="P34" s="156">
        <f t="shared" si="22"/>
        <v>805.09</v>
      </c>
      <c r="Q34" s="103">
        <f t="shared" si="18"/>
        <v>2235.1999999999998</v>
      </c>
      <c r="R34" s="186">
        <f t="shared" si="19"/>
        <v>4765.6000000000004</v>
      </c>
      <c r="S34" s="170">
        <v>430.3321725987945</v>
      </c>
      <c r="T34" s="128">
        <f t="shared" si="20"/>
        <v>1435.16</v>
      </c>
      <c r="U34" s="157">
        <f t="shared" si="21"/>
        <v>140.02000000000001</v>
      </c>
      <c r="V34" s="129">
        <f t="shared" si="23"/>
        <v>2005.5121725987947</v>
      </c>
      <c r="X34" s="169"/>
    </row>
    <row r="35" spans="2:24" ht="21" x14ac:dyDescent="0.35">
      <c r="B35" s="102" t="s">
        <v>71</v>
      </c>
      <c r="C35" s="187" t="s">
        <v>50</v>
      </c>
      <c r="D35" s="102" t="s">
        <v>124</v>
      </c>
      <c r="E35" s="103">
        <v>7000.8</v>
      </c>
      <c r="F35" s="126">
        <v>15</v>
      </c>
      <c r="G35" s="103"/>
      <c r="H35" s="141"/>
      <c r="I35" s="130"/>
      <c r="J35" s="141"/>
      <c r="K35" s="141">
        <f t="shared" si="17"/>
        <v>7000.8</v>
      </c>
      <c r="L35" s="141">
        <v>0</v>
      </c>
      <c r="M35" s="103">
        <v>948.11</v>
      </c>
      <c r="N35" s="103">
        <v>857.15</v>
      </c>
      <c r="O35" s="103">
        <v>-0.04</v>
      </c>
      <c r="P35" s="156">
        <f t="shared" si="22"/>
        <v>805.09</v>
      </c>
      <c r="Q35" s="103">
        <f t="shared" si="18"/>
        <v>1662.2</v>
      </c>
      <c r="R35" s="186">
        <f t="shared" si="19"/>
        <v>5338.6</v>
      </c>
      <c r="S35" s="170">
        <v>430.3321725987945</v>
      </c>
      <c r="T35" s="128">
        <f t="shared" si="20"/>
        <v>1435.16</v>
      </c>
      <c r="U35" s="157">
        <f t="shared" si="21"/>
        <v>140.02000000000001</v>
      </c>
      <c r="V35" s="129">
        <f t="shared" si="23"/>
        <v>2005.5121725987947</v>
      </c>
      <c r="X35" s="169"/>
    </row>
    <row r="36" spans="2:24" ht="21" x14ac:dyDescent="0.35">
      <c r="B36" s="102" t="s">
        <v>72</v>
      </c>
      <c r="C36" s="187" t="s">
        <v>52</v>
      </c>
      <c r="D36" s="102" t="s">
        <v>124</v>
      </c>
      <c r="E36" s="103">
        <v>7000.8</v>
      </c>
      <c r="F36" s="126">
        <v>15</v>
      </c>
      <c r="G36" s="103"/>
      <c r="H36" s="103"/>
      <c r="I36" s="139"/>
      <c r="J36" s="141"/>
      <c r="K36" s="141">
        <f t="shared" si="17"/>
        <v>7000.8</v>
      </c>
      <c r="L36" s="141">
        <v>0</v>
      </c>
      <c r="M36" s="103">
        <v>948.11</v>
      </c>
      <c r="N36" s="103">
        <v>857.15</v>
      </c>
      <c r="O36" s="103">
        <v>-0.04</v>
      </c>
      <c r="P36" s="156">
        <f t="shared" si="22"/>
        <v>805.09</v>
      </c>
      <c r="Q36" s="103">
        <f t="shared" si="18"/>
        <v>1662.2</v>
      </c>
      <c r="R36" s="186">
        <f t="shared" si="19"/>
        <v>5338.6</v>
      </c>
      <c r="S36" s="170">
        <v>430.3321725987945</v>
      </c>
      <c r="T36" s="128">
        <f t="shared" si="20"/>
        <v>1435.16</v>
      </c>
      <c r="U36" s="157">
        <f t="shared" si="21"/>
        <v>140.02000000000001</v>
      </c>
      <c r="V36" s="129">
        <f t="shared" si="23"/>
        <v>2005.5121725987947</v>
      </c>
      <c r="X36" s="169"/>
    </row>
    <row r="37" spans="2:24" ht="21" x14ac:dyDescent="0.35">
      <c r="B37" s="102" t="s">
        <v>73</v>
      </c>
      <c r="C37" s="187" t="s">
        <v>47</v>
      </c>
      <c r="D37" s="102" t="s">
        <v>125</v>
      </c>
      <c r="E37" s="103">
        <v>7000.8</v>
      </c>
      <c r="F37" s="126">
        <v>15</v>
      </c>
      <c r="G37" s="141"/>
      <c r="H37" s="103"/>
      <c r="I37" s="145"/>
      <c r="J37" s="103"/>
      <c r="K37" s="103">
        <f t="shared" si="17"/>
        <v>7000.8</v>
      </c>
      <c r="L37" s="103">
        <v>0</v>
      </c>
      <c r="M37" s="103">
        <v>948.11</v>
      </c>
      <c r="N37" s="103">
        <v>857.15</v>
      </c>
      <c r="O37" s="103">
        <v>-0.04</v>
      </c>
      <c r="P37" s="156">
        <f t="shared" si="22"/>
        <v>805.09</v>
      </c>
      <c r="Q37" s="103">
        <f>SUM(N37:P37)+G37</f>
        <v>1662.2</v>
      </c>
      <c r="R37" s="186">
        <f>K37-Q37</f>
        <v>5338.6</v>
      </c>
      <c r="S37" s="170">
        <v>430.3321725987945</v>
      </c>
      <c r="T37" s="128">
        <f t="shared" si="20"/>
        <v>1435.16</v>
      </c>
      <c r="U37" s="157">
        <f t="shared" si="21"/>
        <v>140.02000000000001</v>
      </c>
      <c r="V37" s="129">
        <f t="shared" si="23"/>
        <v>2005.5121725987947</v>
      </c>
      <c r="X37" s="169"/>
    </row>
    <row r="38" spans="2:24" ht="21" x14ac:dyDescent="0.35">
      <c r="B38" s="102" t="s">
        <v>74</v>
      </c>
      <c r="C38" s="187" t="s">
        <v>53</v>
      </c>
      <c r="D38" s="102" t="s">
        <v>125</v>
      </c>
      <c r="E38" s="103">
        <v>7000.8</v>
      </c>
      <c r="F38" s="126">
        <v>15</v>
      </c>
      <c r="G38" s="185">
        <v>1500</v>
      </c>
      <c r="H38" s="103"/>
      <c r="I38" s="139"/>
      <c r="J38" s="103"/>
      <c r="K38" s="103">
        <f>E38-I38</f>
        <v>7000.8</v>
      </c>
      <c r="L38" s="103">
        <v>0</v>
      </c>
      <c r="M38" s="103">
        <v>948.11</v>
      </c>
      <c r="N38" s="103">
        <v>857.15</v>
      </c>
      <c r="O38" s="103">
        <v>0.16</v>
      </c>
      <c r="P38" s="156">
        <f t="shared" si="22"/>
        <v>805.09</v>
      </c>
      <c r="Q38" s="103">
        <f>SUM(N38:P38)+G38</f>
        <v>3162.4</v>
      </c>
      <c r="R38" s="186">
        <f t="shared" si="19"/>
        <v>3838.4</v>
      </c>
      <c r="S38" s="170">
        <v>430.3321725987945</v>
      </c>
      <c r="T38" s="128">
        <f t="shared" si="20"/>
        <v>1435.16</v>
      </c>
      <c r="U38" s="157">
        <f t="shared" si="21"/>
        <v>140.02000000000001</v>
      </c>
      <c r="V38" s="129">
        <f t="shared" si="23"/>
        <v>2005.5121725987947</v>
      </c>
      <c r="X38" s="169"/>
    </row>
    <row r="39" spans="2:24" ht="21" x14ac:dyDescent="0.35">
      <c r="B39" s="102" t="s">
        <v>75</v>
      </c>
      <c r="C39" s="187" t="s">
        <v>39</v>
      </c>
      <c r="D39" s="102" t="s">
        <v>126</v>
      </c>
      <c r="E39" s="103">
        <v>7000.8</v>
      </c>
      <c r="F39" s="126">
        <v>15</v>
      </c>
      <c r="G39" s="141"/>
      <c r="H39" s="103"/>
      <c r="I39" s="144"/>
      <c r="J39" s="103"/>
      <c r="K39" s="103">
        <f>E39-I39</f>
        <v>7000.8</v>
      </c>
      <c r="L39" s="103">
        <v>0</v>
      </c>
      <c r="M39" s="103">
        <v>948.11</v>
      </c>
      <c r="N39" s="103">
        <v>857.15</v>
      </c>
      <c r="O39" s="103">
        <v>-0.04</v>
      </c>
      <c r="P39" s="156">
        <f t="shared" si="22"/>
        <v>805.09</v>
      </c>
      <c r="Q39" s="103">
        <f>SUM(N39:P39)+G39</f>
        <v>1662.2</v>
      </c>
      <c r="R39" s="186">
        <f>K39-Q39</f>
        <v>5338.6</v>
      </c>
      <c r="S39" s="170">
        <v>430.3321725987945</v>
      </c>
      <c r="T39" s="128">
        <f t="shared" si="20"/>
        <v>1435.16</v>
      </c>
      <c r="U39" s="157">
        <f t="shared" si="21"/>
        <v>140.02000000000001</v>
      </c>
      <c r="V39" s="129">
        <f t="shared" si="23"/>
        <v>2005.5121725987947</v>
      </c>
      <c r="X39" s="169"/>
    </row>
    <row r="40" spans="2:24" ht="21" x14ac:dyDescent="0.35">
      <c r="B40" s="102" t="s">
        <v>76</v>
      </c>
      <c r="C40" s="187" t="s">
        <v>54</v>
      </c>
      <c r="D40" s="102" t="s">
        <v>126</v>
      </c>
      <c r="E40" s="103">
        <v>7000.8</v>
      </c>
      <c r="F40" s="126">
        <v>15</v>
      </c>
      <c r="G40" s="185">
        <v>1910</v>
      </c>
      <c r="H40" s="103"/>
      <c r="I40" s="144"/>
      <c r="J40" s="103"/>
      <c r="K40" s="103">
        <f>E40-I40</f>
        <v>7000.8</v>
      </c>
      <c r="L40" s="103">
        <v>0</v>
      </c>
      <c r="M40" s="103">
        <v>948.11</v>
      </c>
      <c r="N40" s="103">
        <v>857.15</v>
      </c>
      <c r="O40" s="103">
        <v>-0.04</v>
      </c>
      <c r="P40" s="156">
        <f t="shared" si="22"/>
        <v>805.09</v>
      </c>
      <c r="Q40" s="103">
        <f t="shared" si="18"/>
        <v>3572.2</v>
      </c>
      <c r="R40" s="186">
        <f>K40-Q40</f>
        <v>3428.6000000000004</v>
      </c>
      <c r="S40" s="170">
        <v>430.3321725987945</v>
      </c>
      <c r="T40" s="128">
        <f t="shared" si="20"/>
        <v>1435.16</v>
      </c>
      <c r="U40" s="157">
        <f t="shared" si="21"/>
        <v>140.02000000000001</v>
      </c>
      <c r="V40" s="129">
        <f t="shared" si="23"/>
        <v>2005.5121725987947</v>
      </c>
      <c r="X40" s="169"/>
    </row>
    <row r="41" spans="2:24" ht="18.75" x14ac:dyDescent="0.3">
      <c r="B41" s="138" t="s">
        <v>20</v>
      </c>
      <c r="C41" s="132"/>
      <c r="D41" s="133"/>
      <c r="E41" s="134">
        <f>SUM(E30:E40)</f>
        <v>77451.800000000017</v>
      </c>
      <c r="F41" s="134"/>
      <c r="G41" s="134">
        <f>+G40+G39+G38+G37+G36+G35+G34+G31+G33</f>
        <v>5149.9799999999996</v>
      </c>
      <c r="H41" s="134"/>
      <c r="I41" s="134">
        <f>SUM(I30:I40)</f>
        <v>0</v>
      </c>
      <c r="J41" s="134">
        <f t="shared" ref="J41:V41" si="24">SUM(J30:J40)</f>
        <v>0</v>
      </c>
      <c r="K41" s="134">
        <f>SUM(K30:K40)</f>
        <v>77451.800000000017</v>
      </c>
      <c r="L41" s="134">
        <f>SUM(L30:L40)</f>
        <v>0</v>
      </c>
      <c r="M41" s="134">
        <f>SUM(M30:M40)</f>
        <v>10523.83</v>
      </c>
      <c r="N41" s="134">
        <f>SUM(N30:N40)</f>
        <v>9523.2799999999988</v>
      </c>
      <c r="O41" s="134">
        <f t="shared" si="24"/>
        <v>-0.20000000000000004</v>
      </c>
      <c r="P41" s="134">
        <f>SUM(P30:P40)</f>
        <v>8906.94</v>
      </c>
      <c r="Q41" s="134">
        <f t="shared" si="24"/>
        <v>23580.000000000004</v>
      </c>
      <c r="R41" s="135">
        <f t="shared" si="24"/>
        <v>53871.799999999996</v>
      </c>
      <c r="S41" s="134">
        <f t="shared" si="24"/>
        <v>4746.0873540354332</v>
      </c>
      <c r="T41" s="134">
        <f t="shared" si="24"/>
        <v>15877.58</v>
      </c>
      <c r="U41" s="134">
        <f>SUM(U30:U40)</f>
        <v>1549.08</v>
      </c>
      <c r="V41" s="134">
        <f t="shared" si="24"/>
        <v>22172.74735403544</v>
      </c>
      <c r="X41" s="169"/>
    </row>
    <row r="42" spans="2:24" ht="18.75" hidden="1" x14ac:dyDescent="0.3">
      <c r="C42" s="136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37"/>
      <c r="X42" s="169"/>
    </row>
    <row r="43" spans="2:24" ht="18.75" x14ac:dyDescent="0.3">
      <c r="B43" s="138" t="s">
        <v>78</v>
      </c>
      <c r="C43" s="132" t="s">
        <v>34</v>
      </c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37"/>
      <c r="X43" s="169"/>
    </row>
    <row r="44" spans="2:24" ht="21" x14ac:dyDescent="0.35">
      <c r="B44" s="102" t="s">
        <v>69</v>
      </c>
      <c r="C44" s="187" t="s">
        <v>55</v>
      </c>
      <c r="D44" s="102" t="s">
        <v>130</v>
      </c>
      <c r="E44" s="103">
        <v>7443.8</v>
      </c>
      <c r="F44" s="126">
        <v>15</v>
      </c>
      <c r="G44" s="137"/>
      <c r="H44" s="103"/>
      <c r="I44" s="144"/>
      <c r="J44" s="141"/>
      <c r="K44" s="141">
        <f t="shared" ref="K44" si="25">E44-I44</f>
        <v>7443.8</v>
      </c>
      <c r="L44" s="141">
        <v>0</v>
      </c>
      <c r="M44" s="103">
        <v>1042.73</v>
      </c>
      <c r="N44" s="103">
        <v>951.78</v>
      </c>
      <c r="O44" s="103">
        <v>-0.02</v>
      </c>
      <c r="P44" s="156">
        <f t="shared" ref="P44:P46" si="26">ROUND(E44*0.115,2)</f>
        <v>856.04</v>
      </c>
      <c r="Q44" s="103">
        <f t="shared" ref="Q44" si="27">SUM(N44:P44)+G44</f>
        <v>1807.8</v>
      </c>
      <c r="R44" s="186">
        <f t="shared" ref="R44" si="28">K44-Q44</f>
        <v>5636</v>
      </c>
      <c r="S44" s="170">
        <v>442.76562804748858</v>
      </c>
      <c r="T44" s="128">
        <f t="shared" ref="T44:T46" si="29">ROUND(+E44*17.5%,2)+ROUND(E44*3%,2)</f>
        <v>1525.98</v>
      </c>
      <c r="U44" s="157">
        <f t="shared" ref="U44:U46" si="30">ROUND(+E44*2%,2)</f>
        <v>148.88</v>
      </c>
      <c r="V44" s="129">
        <f t="shared" ref="V44:V46" si="31">SUM(S44:U44)</f>
        <v>2117.6256280474886</v>
      </c>
      <c r="X44" s="169"/>
    </row>
    <row r="45" spans="2:24" ht="21" x14ac:dyDescent="0.35">
      <c r="B45" s="102" t="s">
        <v>81</v>
      </c>
      <c r="C45" s="187" t="s">
        <v>44</v>
      </c>
      <c r="D45" s="102" t="s">
        <v>128</v>
      </c>
      <c r="E45" s="103">
        <v>7000.8</v>
      </c>
      <c r="F45" s="126">
        <v>15</v>
      </c>
      <c r="G45" s="141"/>
      <c r="H45" s="103"/>
      <c r="I45" s="144"/>
      <c r="J45" s="103"/>
      <c r="K45" s="103">
        <f>E45-I45</f>
        <v>7000.8</v>
      </c>
      <c r="L45" s="103">
        <v>0</v>
      </c>
      <c r="M45" s="103">
        <v>948.11</v>
      </c>
      <c r="N45" s="103">
        <v>857.15</v>
      </c>
      <c r="O45" s="103">
        <v>-0.04</v>
      </c>
      <c r="P45" s="156">
        <f t="shared" si="26"/>
        <v>805.09</v>
      </c>
      <c r="Q45" s="103">
        <f>SUM(N45:P45)+G45</f>
        <v>1662.2</v>
      </c>
      <c r="R45" s="186">
        <f>K45-Q45</f>
        <v>5338.6</v>
      </c>
      <c r="S45" s="170">
        <v>430.3321725987945</v>
      </c>
      <c r="T45" s="128">
        <f t="shared" si="29"/>
        <v>1435.16</v>
      </c>
      <c r="U45" s="157">
        <f t="shared" si="30"/>
        <v>140.02000000000001</v>
      </c>
      <c r="V45" s="129">
        <f t="shared" si="31"/>
        <v>2005.5121725987947</v>
      </c>
      <c r="X45" s="169"/>
    </row>
    <row r="46" spans="2:24" ht="21" x14ac:dyDescent="0.35">
      <c r="B46" s="102" t="s">
        <v>107</v>
      </c>
      <c r="C46" s="187" t="s">
        <v>108</v>
      </c>
      <c r="D46" s="102" t="s">
        <v>109</v>
      </c>
      <c r="E46" s="103">
        <v>7000.8</v>
      </c>
      <c r="F46" s="126">
        <v>15</v>
      </c>
      <c r="G46" s="103"/>
      <c r="H46" s="103"/>
      <c r="I46" s="103"/>
      <c r="J46" s="103"/>
      <c r="K46" s="103">
        <f>E46-I46</f>
        <v>7000.8</v>
      </c>
      <c r="L46" s="103">
        <v>0</v>
      </c>
      <c r="M46" s="103">
        <v>948.11</v>
      </c>
      <c r="N46" s="103">
        <v>857.15</v>
      </c>
      <c r="O46" s="103">
        <v>-0.04</v>
      </c>
      <c r="P46" s="156">
        <f t="shared" si="26"/>
        <v>805.09</v>
      </c>
      <c r="Q46" s="103">
        <f>SUM(N46:P46)+G46</f>
        <v>1662.2</v>
      </c>
      <c r="R46" s="186">
        <f>K46-Q46</f>
        <v>5338.6</v>
      </c>
      <c r="S46" s="170">
        <v>430.3321725987945</v>
      </c>
      <c r="T46" s="128">
        <f t="shared" si="29"/>
        <v>1435.16</v>
      </c>
      <c r="U46" s="157">
        <f t="shared" si="30"/>
        <v>140.02000000000001</v>
      </c>
      <c r="V46" s="129">
        <f t="shared" si="31"/>
        <v>2005.5121725987947</v>
      </c>
      <c r="X46" s="169"/>
    </row>
    <row r="47" spans="2:24" ht="18.75" x14ac:dyDescent="0.3">
      <c r="B47" s="138" t="s">
        <v>20</v>
      </c>
      <c r="C47" s="132"/>
      <c r="D47" s="133"/>
      <c r="E47" s="134">
        <f>E44+E45+E46</f>
        <v>21445.4</v>
      </c>
      <c r="F47" s="134"/>
      <c r="G47" s="134">
        <f t="shared" ref="G47:V47" si="32">G44+G45+G46</f>
        <v>0</v>
      </c>
      <c r="H47" s="134">
        <f t="shared" si="32"/>
        <v>0</v>
      </c>
      <c r="I47" s="134">
        <f>I44+I45+I46</f>
        <v>0</v>
      </c>
      <c r="J47" s="134">
        <f t="shared" si="32"/>
        <v>0</v>
      </c>
      <c r="K47" s="134">
        <f>K44+K45+K46</f>
        <v>21445.4</v>
      </c>
      <c r="L47" s="134">
        <f t="shared" ref="L47:M47" si="33">L44+L45+L46</f>
        <v>0</v>
      </c>
      <c r="M47" s="134">
        <f t="shared" si="33"/>
        <v>2938.9500000000003</v>
      </c>
      <c r="N47" s="134">
        <f>N44+N45+N46</f>
        <v>2666.08</v>
      </c>
      <c r="O47" s="134">
        <f t="shared" si="32"/>
        <v>-0.1</v>
      </c>
      <c r="P47" s="134">
        <f>P44+P45+P46</f>
        <v>2466.2200000000003</v>
      </c>
      <c r="Q47" s="134">
        <f t="shared" si="32"/>
        <v>5132.2</v>
      </c>
      <c r="R47" s="135">
        <f t="shared" si="32"/>
        <v>16313.2</v>
      </c>
      <c r="S47" s="134">
        <f t="shared" si="32"/>
        <v>1303.4299732450777</v>
      </c>
      <c r="T47" s="134">
        <f t="shared" si="32"/>
        <v>4396.3</v>
      </c>
      <c r="U47" s="134">
        <f>U44+U45+U46</f>
        <v>428.91999999999996</v>
      </c>
      <c r="V47" s="134">
        <f t="shared" si="32"/>
        <v>6128.6499732450784</v>
      </c>
      <c r="X47" s="169"/>
    </row>
    <row r="48" spans="2:24" ht="18.75" hidden="1" x14ac:dyDescent="0.3">
      <c r="B48" s="138"/>
      <c r="C48" s="136"/>
      <c r="E48" s="103"/>
      <c r="F48" s="103"/>
      <c r="G48" s="103"/>
      <c r="H48" s="103"/>
      <c r="I48" s="103"/>
      <c r="J48" s="103"/>
      <c r="K48" s="146"/>
      <c r="L48" s="146"/>
      <c r="M48" s="146"/>
      <c r="N48" s="146"/>
      <c r="O48" s="146"/>
      <c r="P48" s="146"/>
      <c r="Q48" s="146"/>
      <c r="R48" s="147"/>
      <c r="S48" s="148"/>
      <c r="T48" s="148"/>
      <c r="U48" s="148"/>
      <c r="V48" s="148"/>
      <c r="X48" s="169"/>
    </row>
    <row r="49" spans="2:24" ht="18.75" x14ac:dyDescent="0.3">
      <c r="B49" s="138" t="s">
        <v>84</v>
      </c>
      <c r="C49" s="132" t="s">
        <v>85</v>
      </c>
      <c r="E49" s="103"/>
      <c r="F49" s="103"/>
      <c r="G49" s="103"/>
      <c r="H49" s="103"/>
      <c r="I49" s="103"/>
      <c r="J49" s="103"/>
      <c r="K49" s="146"/>
      <c r="L49" s="146"/>
      <c r="M49" s="146"/>
      <c r="N49" s="146"/>
      <c r="O49" s="146"/>
      <c r="P49" s="146"/>
      <c r="Q49" s="146"/>
      <c r="R49" s="147"/>
      <c r="S49" s="148"/>
      <c r="T49" s="148"/>
      <c r="U49" s="148"/>
      <c r="V49" s="148"/>
      <c r="X49" s="169"/>
    </row>
    <row r="50" spans="2:24" ht="21" x14ac:dyDescent="0.35">
      <c r="B50" s="102" t="s">
        <v>86</v>
      </c>
      <c r="C50" s="187" t="s">
        <v>30</v>
      </c>
      <c r="D50" s="102" t="s">
        <v>114</v>
      </c>
      <c r="E50" s="103">
        <v>13000</v>
      </c>
      <c r="F50" s="126">
        <v>15</v>
      </c>
      <c r="G50" s="185">
        <v>6090.42</v>
      </c>
      <c r="H50" s="103"/>
      <c r="I50" s="103"/>
      <c r="J50" s="103"/>
      <c r="K50" s="103">
        <f>E50-I50</f>
        <v>13000</v>
      </c>
      <c r="L50" s="103">
        <v>0</v>
      </c>
      <c r="M50" s="103">
        <v>2288.9699999999998</v>
      </c>
      <c r="N50" s="103">
        <v>2161.23</v>
      </c>
      <c r="O50" s="103">
        <v>-0.15</v>
      </c>
      <c r="P50" s="156">
        <f>ROUND(E50*0.115,2)</f>
        <v>1495</v>
      </c>
      <c r="Q50" s="103">
        <f>SUM(N50:P50)+G50</f>
        <v>9746.5</v>
      </c>
      <c r="R50" s="186">
        <f>K50-Q50</f>
        <v>3253.5</v>
      </c>
      <c r="S50" s="170">
        <v>598.7128888401827</v>
      </c>
      <c r="T50" s="128">
        <f t="shared" ref="T50" si="34">ROUND(+E50*17.5%,2)+ROUND(E50*3%,2)</f>
        <v>2665</v>
      </c>
      <c r="U50" s="157">
        <f>ROUND(+E50*2%,2)</f>
        <v>260</v>
      </c>
      <c r="V50" s="129">
        <f t="shared" ref="V50" si="35">SUM(S50:U50)</f>
        <v>3523.7128888401826</v>
      </c>
      <c r="X50" s="169"/>
    </row>
    <row r="51" spans="2:24" ht="18.75" x14ac:dyDescent="0.3">
      <c r="B51" s="138" t="s">
        <v>20</v>
      </c>
      <c r="E51" s="134">
        <f>E50</f>
        <v>13000</v>
      </c>
      <c r="F51" s="134"/>
      <c r="G51" s="134">
        <f>+G50</f>
        <v>6090.42</v>
      </c>
      <c r="H51" s="134"/>
      <c r="I51" s="134">
        <f>I50</f>
        <v>0</v>
      </c>
      <c r="J51" s="134">
        <f>J50</f>
        <v>0</v>
      </c>
      <c r="K51" s="134">
        <f>K50</f>
        <v>13000</v>
      </c>
      <c r="L51" s="134">
        <f t="shared" ref="L51:V51" si="36">L50</f>
        <v>0</v>
      </c>
      <c r="M51" s="134">
        <f t="shared" si="36"/>
        <v>2288.9699999999998</v>
      </c>
      <c r="N51" s="134">
        <f t="shared" si="36"/>
        <v>2161.23</v>
      </c>
      <c r="O51" s="134">
        <f t="shared" si="36"/>
        <v>-0.15</v>
      </c>
      <c r="P51" s="134">
        <f>P50</f>
        <v>1495</v>
      </c>
      <c r="Q51" s="134">
        <f t="shared" si="36"/>
        <v>9746.5</v>
      </c>
      <c r="R51" s="135">
        <f>R50</f>
        <v>3253.5</v>
      </c>
      <c r="S51" s="134">
        <f t="shared" si="36"/>
        <v>598.7128888401827</v>
      </c>
      <c r="T51" s="134">
        <f t="shared" si="36"/>
        <v>2665</v>
      </c>
      <c r="U51" s="134">
        <f>U50</f>
        <v>260</v>
      </c>
      <c r="V51" s="134">
        <f t="shared" si="36"/>
        <v>3523.7128888401826</v>
      </c>
      <c r="X51" s="169"/>
    </row>
    <row r="52" spans="2:24" ht="12" customHeight="1" x14ac:dyDescent="0.3">
      <c r="B52" s="138"/>
      <c r="E52" s="103"/>
      <c r="F52" s="103"/>
      <c r="G52" s="103"/>
      <c r="H52" s="103"/>
      <c r="I52" s="103"/>
      <c r="J52" s="103"/>
      <c r="K52" s="146"/>
      <c r="L52" s="146"/>
      <c r="M52" s="146"/>
      <c r="N52" s="146"/>
      <c r="O52" s="146"/>
      <c r="P52" s="146"/>
      <c r="Q52" s="146"/>
      <c r="R52" s="147"/>
      <c r="S52" s="148"/>
      <c r="T52" s="148"/>
      <c r="U52" s="148"/>
      <c r="V52" s="148"/>
    </row>
    <row r="53" spans="2:24" ht="18.75" hidden="1" x14ac:dyDescent="0.3">
      <c r="R53" s="149"/>
    </row>
    <row r="54" spans="2:24" ht="18.75" x14ac:dyDescent="0.3">
      <c r="C54" s="150" t="s">
        <v>56</v>
      </c>
      <c r="E54" s="151">
        <f>E9+E20+E27+E41+E47+E51</f>
        <v>219167.75999999998</v>
      </c>
      <c r="F54" s="151"/>
      <c r="G54" s="152">
        <f>G9+G20+G27+G41+G47+G51</f>
        <v>22162.42</v>
      </c>
      <c r="H54" s="151"/>
      <c r="I54" s="151">
        <f t="shared" ref="I54:V54" si="37">I9+I20+I27+I41+I47+I51</f>
        <v>0</v>
      </c>
      <c r="J54" s="151">
        <f t="shared" si="37"/>
        <v>0</v>
      </c>
      <c r="K54" s="151">
        <f t="shared" si="37"/>
        <v>219167.75999999998</v>
      </c>
      <c r="L54" s="151">
        <f t="shared" si="37"/>
        <v>0</v>
      </c>
      <c r="M54" s="151">
        <f t="shared" si="37"/>
        <v>31517.59</v>
      </c>
      <c r="N54" s="151">
        <f t="shared" si="37"/>
        <v>28724.859999999997</v>
      </c>
      <c r="O54" s="151">
        <f t="shared" si="37"/>
        <v>-0.46000000000000008</v>
      </c>
      <c r="P54" s="152">
        <f>P9+P20+P27+P41+P47+P51</f>
        <v>25204.260000000002</v>
      </c>
      <c r="Q54" s="151">
        <f t="shared" si="37"/>
        <v>76091.08</v>
      </c>
      <c r="R54" s="153">
        <f t="shared" si="37"/>
        <v>143076.68000000002</v>
      </c>
      <c r="S54" s="151">
        <f t="shared" si="37"/>
        <v>12932.76364118359</v>
      </c>
      <c r="T54" s="151">
        <f>T51+T47+T41+T27+T20+T9</f>
        <v>44929.312474999999</v>
      </c>
      <c r="U54" s="152">
        <f>U9+U20+U27+U41+U47+U51</f>
        <v>4383.45</v>
      </c>
      <c r="V54" s="154">
        <f t="shared" si="37"/>
        <v>62245.526116183602</v>
      </c>
    </row>
    <row r="55" spans="2:24" ht="18.75" x14ac:dyDescent="0.3">
      <c r="S55" s="151"/>
      <c r="T55" s="151"/>
    </row>
    <row r="56" spans="2:24" x14ac:dyDescent="0.25">
      <c r="T56" s="103"/>
      <c r="X56" s="169"/>
    </row>
    <row r="63" spans="2:24" ht="16.5" thickBot="1" x14ac:dyDescent="0.3">
      <c r="E63" s="293"/>
      <c r="F63" s="293"/>
      <c r="G63" s="180"/>
      <c r="H63" s="180"/>
      <c r="P63" s="294"/>
      <c r="Q63" s="294"/>
    </row>
    <row r="64" spans="2:24" ht="15" x14ac:dyDescent="0.25">
      <c r="E64" s="295" t="s">
        <v>91</v>
      </c>
      <c r="F64" s="295"/>
      <c r="G64" s="181"/>
      <c r="H64" s="181"/>
      <c r="P64" s="155"/>
      <c r="Q64" s="155"/>
      <c r="R64" s="296" t="s">
        <v>82</v>
      </c>
      <c r="S64" s="296"/>
      <c r="T64" s="180"/>
    </row>
    <row r="68" spans="3:3" x14ac:dyDescent="0.25">
      <c r="C68" s="102" t="s">
        <v>90</v>
      </c>
    </row>
  </sheetData>
  <mergeCells count="5">
    <mergeCell ref="B4:V4"/>
    <mergeCell ref="E63:F63"/>
    <mergeCell ref="P63:Q63"/>
    <mergeCell ref="E64:F64"/>
    <mergeCell ref="R64:S64"/>
  </mergeCells>
  <pageMargins left="0.51181102362204722" right="0.51181102362204722" top="0.15748031496062992" bottom="0.35433070866141736" header="0.31496062992125984" footer="0.31496062992125984"/>
  <pageSetup scale="4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D5732-9E27-44E0-B931-AD24DD02BA06}">
  <sheetPr>
    <pageSetUpPr fitToPage="1"/>
  </sheetPr>
  <dimension ref="B3:X68"/>
  <sheetViews>
    <sheetView zoomScale="87" zoomScaleNormal="87" workbookViewId="0">
      <selection activeCell="H14" sqref="H14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2.28515625" style="102" customWidth="1"/>
    <col min="8" max="8" width="14.140625" style="102" customWidth="1"/>
    <col min="9" max="10" width="13.28515625" style="102" hidden="1" customWidth="1"/>
    <col min="11" max="11" width="13.28515625" style="102" customWidth="1"/>
    <col min="12" max="12" width="9.42578125" style="102" hidden="1" customWidth="1"/>
    <col min="13" max="13" width="14.42578125" style="102" hidden="1" customWidth="1"/>
    <col min="14" max="14" width="12.7109375" style="102" bestFit="1" customWidth="1"/>
    <col min="15" max="15" width="11.42578125" style="102" customWidth="1"/>
    <col min="16" max="16" width="12.85546875" style="102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4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4" ht="16.5" customHeight="1" x14ac:dyDescent="0.25">
      <c r="B4" s="291" t="s">
        <v>146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4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4" t="s">
        <v>145</v>
      </c>
      <c r="I5" s="112" t="s">
        <v>87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4" x14ac:dyDescent="0.25">
      <c r="B6" s="121" t="s">
        <v>13</v>
      </c>
      <c r="C6" s="122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4" ht="21" x14ac:dyDescent="0.35">
      <c r="B7" s="102" t="s">
        <v>15</v>
      </c>
      <c r="C7" s="179" t="s">
        <v>16</v>
      </c>
      <c r="D7" s="102" t="s">
        <v>19</v>
      </c>
      <c r="E7" s="103">
        <v>19461.365000000002</v>
      </c>
      <c r="F7" s="126">
        <v>15</v>
      </c>
      <c r="G7" s="141"/>
      <c r="H7" s="1">
        <v>3243.5606666666663</v>
      </c>
      <c r="I7" s="103"/>
      <c r="J7" s="103"/>
      <c r="K7" s="103">
        <f>E7-I7+H7</f>
        <v>22704.92566666667</v>
      </c>
      <c r="L7" s="103">
        <v>0</v>
      </c>
      <c r="M7" s="103">
        <v>4023.06</v>
      </c>
      <c r="N7" s="103">
        <v>4694.45</v>
      </c>
      <c r="O7" s="103">
        <v>0.02</v>
      </c>
      <c r="P7" s="156">
        <f>ROUND(E7*0.115,2)</f>
        <v>2238.06</v>
      </c>
      <c r="Q7" s="103">
        <f>SUM(N7:P7)+G7</f>
        <v>6932.5300000000007</v>
      </c>
      <c r="R7" s="186">
        <f>K7-Q7</f>
        <v>15772.395666666669</v>
      </c>
      <c r="S7" s="170">
        <v>780.06561494516893</v>
      </c>
      <c r="T7" s="128">
        <f>+E7*17.5%+E7*3%</f>
        <v>3989.5798249999998</v>
      </c>
      <c r="U7" s="157">
        <f>ROUND(+E7*2%,2)</f>
        <v>389.23</v>
      </c>
      <c r="V7" s="129">
        <f>SUM(S7:U7)</f>
        <v>5158.8754399451682</v>
      </c>
      <c r="X7" s="169"/>
    </row>
    <row r="8" spans="2:24" ht="21" x14ac:dyDescent="0.35">
      <c r="B8" s="102" t="s">
        <v>17</v>
      </c>
      <c r="C8" s="179" t="s">
        <v>18</v>
      </c>
      <c r="D8" s="102" t="s">
        <v>2</v>
      </c>
      <c r="E8" s="103">
        <v>6247.33</v>
      </c>
      <c r="F8" s="126">
        <v>15</v>
      </c>
      <c r="G8" s="127">
        <v>1000</v>
      </c>
      <c r="H8" s="1">
        <v>1041.222</v>
      </c>
      <c r="I8" s="130"/>
      <c r="J8" s="103"/>
      <c r="K8" s="103">
        <f>E8-I8+H8</f>
        <v>7288.5519999999997</v>
      </c>
      <c r="L8" s="103">
        <v>0</v>
      </c>
      <c r="M8" s="103">
        <v>787.17</v>
      </c>
      <c r="N8" s="103">
        <v>918.66</v>
      </c>
      <c r="O8" s="103">
        <v>0.05</v>
      </c>
      <c r="P8" s="156">
        <f>ROUND(E8*0.115,2)</f>
        <v>718.44</v>
      </c>
      <c r="Q8" s="103">
        <f>SUM(N8:P8)+G8</f>
        <v>2637.15</v>
      </c>
      <c r="R8" s="186">
        <f>K8-Q8</f>
        <v>4651.402</v>
      </c>
      <c r="S8" s="170">
        <v>409.18406020865751</v>
      </c>
      <c r="T8" s="128">
        <f>+E8*17.5%+E8*3%</f>
        <v>1280.7026499999997</v>
      </c>
      <c r="U8" s="157">
        <f>ROUND(+E8*2%,2)</f>
        <v>124.95</v>
      </c>
      <c r="V8" s="129">
        <f>SUM(S8:U8)</f>
        <v>1814.8367102086572</v>
      </c>
      <c r="X8" s="169"/>
    </row>
    <row r="9" spans="2:24" ht="18.75" x14ac:dyDescent="0.3">
      <c r="B9" s="131" t="s">
        <v>20</v>
      </c>
      <c r="C9" s="132"/>
      <c r="D9" s="133"/>
      <c r="E9" s="134">
        <f>SUM(E7:E8)</f>
        <v>25708.695</v>
      </c>
      <c r="F9" s="134"/>
      <c r="G9" s="134">
        <f>+G8+G7</f>
        <v>1000</v>
      </c>
      <c r="H9" s="134">
        <f>+H8+H7</f>
        <v>4284.782666666666</v>
      </c>
      <c r="I9" s="134">
        <f t="shared" ref="I9:V9" si="0">SUM(I7:I8)</f>
        <v>0</v>
      </c>
      <c r="J9" s="134">
        <f t="shared" si="0"/>
        <v>0</v>
      </c>
      <c r="K9" s="134">
        <f t="shared" si="0"/>
        <v>29993.477666666669</v>
      </c>
      <c r="L9" s="134">
        <f t="shared" si="0"/>
        <v>0</v>
      </c>
      <c r="M9" s="134">
        <f>SUM(M7:M8)</f>
        <v>4810.2299999999996</v>
      </c>
      <c r="N9" s="134">
        <f t="shared" si="0"/>
        <v>5613.11</v>
      </c>
      <c r="O9" s="134">
        <f t="shared" si="0"/>
        <v>7.0000000000000007E-2</v>
      </c>
      <c r="P9" s="134">
        <f>SUM(P7:P8)</f>
        <v>2956.5</v>
      </c>
      <c r="Q9" s="134">
        <f t="shared" si="0"/>
        <v>9569.68</v>
      </c>
      <c r="R9" s="135">
        <f>SUM(R7:R8)</f>
        <v>20423.797666666669</v>
      </c>
      <c r="S9" s="134">
        <f t="shared" si="0"/>
        <v>1189.2496751538265</v>
      </c>
      <c r="T9" s="134">
        <f t="shared" si="0"/>
        <v>5270.282475</v>
      </c>
      <c r="U9" s="134">
        <f>SUM(U7:U8)</f>
        <v>514.18000000000006</v>
      </c>
      <c r="V9" s="134">
        <f t="shared" si="0"/>
        <v>6973.7121501538259</v>
      </c>
      <c r="X9" s="169"/>
    </row>
    <row r="10" spans="2:24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4" ht="18.75" x14ac:dyDescent="0.3">
      <c r="B11" s="138" t="s">
        <v>21</v>
      </c>
      <c r="C11" s="132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4" ht="21" x14ac:dyDescent="0.35">
      <c r="B12" s="102" t="s">
        <v>23</v>
      </c>
      <c r="C12" s="179" t="s">
        <v>28</v>
      </c>
      <c r="D12" s="102" t="s">
        <v>114</v>
      </c>
      <c r="E12" s="103">
        <v>13000</v>
      </c>
      <c r="F12" s="126">
        <v>15</v>
      </c>
      <c r="G12" s="127">
        <v>3394</v>
      </c>
      <c r="H12" s="103">
        <v>2166.6701333333331</v>
      </c>
      <c r="I12" s="103"/>
      <c r="J12" s="103"/>
      <c r="K12" s="103">
        <f t="shared" ref="K12:K19" si="1">E12-I12+H12</f>
        <v>15166.670133333333</v>
      </c>
      <c r="L12" s="103">
        <v>0</v>
      </c>
      <c r="M12" s="103">
        <v>2288.9699999999998</v>
      </c>
      <c r="N12" s="103">
        <v>2670.87</v>
      </c>
      <c r="O12" s="103">
        <v>0</v>
      </c>
      <c r="P12" s="156">
        <f t="shared" ref="P12:P19" si="2">ROUND(E12*0.115,2)</f>
        <v>1495</v>
      </c>
      <c r="Q12" s="103">
        <f t="shared" ref="Q12:Q19" si="3">SUM(N12:P12)+G12</f>
        <v>7559.87</v>
      </c>
      <c r="R12" s="186">
        <f t="shared" ref="R12:R19" si="4">K12-Q12</f>
        <v>7606.8001333333332</v>
      </c>
      <c r="S12" s="29">
        <v>598.71347263900634</v>
      </c>
      <c r="T12" s="128">
        <f>ROUND(+E12*17.5%,2)+ROUND(E12*3%,2)</f>
        <v>2665</v>
      </c>
      <c r="U12" s="157">
        <f t="shared" ref="U12:U19" si="5">ROUND(+E12*2%,2)</f>
        <v>260</v>
      </c>
      <c r="V12" s="129">
        <f t="shared" ref="V12:V19" si="6">SUM(S12:U12)</f>
        <v>3523.7134726390063</v>
      </c>
      <c r="X12" s="169"/>
    </row>
    <row r="13" spans="2:24" ht="21" x14ac:dyDescent="0.35">
      <c r="B13" s="102" t="s">
        <v>24</v>
      </c>
      <c r="C13" s="179" t="s">
        <v>29</v>
      </c>
      <c r="D13" s="102" t="s">
        <v>116</v>
      </c>
      <c r="E13" s="103">
        <v>7000.8</v>
      </c>
      <c r="F13" s="126">
        <v>15</v>
      </c>
      <c r="G13" s="103"/>
      <c r="H13" s="103">
        <v>1166.8019999999999</v>
      </c>
      <c r="I13" s="139"/>
      <c r="J13" s="140"/>
      <c r="K13" s="103">
        <f t="shared" si="1"/>
        <v>8167.6019999999999</v>
      </c>
      <c r="L13" s="103">
        <v>0</v>
      </c>
      <c r="M13" s="103">
        <v>948.11</v>
      </c>
      <c r="N13" s="103">
        <v>1106.42</v>
      </c>
      <c r="O13" s="103">
        <v>0.09</v>
      </c>
      <c r="P13" s="156">
        <f t="shared" si="2"/>
        <v>805.09</v>
      </c>
      <c r="Q13" s="103">
        <f t="shared" si="3"/>
        <v>1911.6</v>
      </c>
      <c r="R13" s="186">
        <f t="shared" si="4"/>
        <v>6256.0020000000004</v>
      </c>
      <c r="S13" s="29">
        <v>430.3321725987945</v>
      </c>
      <c r="T13" s="128">
        <f t="shared" ref="T13:T19" si="7">ROUND(+E13*17.5%,2)+ROUND(E13*3%,2)</f>
        <v>1435.16</v>
      </c>
      <c r="U13" s="157">
        <f t="shared" si="5"/>
        <v>140.02000000000001</v>
      </c>
      <c r="V13" s="129">
        <f t="shared" si="6"/>
        <v>2005.5121725987947</v>
      </c>
      <c r="X13" s="169"/>
    </row>
    <row r="14" spans="2:24" ht="21" x14ac:dyDescent="0.35">
      <c r="B14" s="102" t="s">
        <v>25</v>
      </c>
      <c r="C14" s="179" t="s">
        <v>92</v>
      </c>
      <c r="D14" s="102" t="s">
        <v>115</v>
      </c>
      <c r="E14" s="103">
        <v>7000.8</v>
      </c>
      <c r="F14" s="126">
        <v>15</v>
      </c>
      <c r="G14" s="103"/>
      <c r="H14" s="141">
        <v>1166.8019999999999</v>
      </c>
      <c r="I14" s="139"/>
      <c r="J14" s="140"/>
      <c r="K14" s="103">
        <f t="shared" si="1"/>
        <v>8167.6019999999999</v>
      </c>
      <c r="L14" s="103">
        <v>0</v>
      </c>
      <c r="M14" s="103">
        <v>948.11</v>
      </c>
      <c r="N14" s="103">
        <v>1106.42</v>
      </c>
      <c r="O14" s="103">
        <v>0.09</v>
      </c>
      <c r="P14" s="156">
        <f>ROUND(E14*0.115,2)</f>
        <v>805.09</v>
      </c>
      <c r="Q14" s="103">
        <f>SUM(N14:P14)+G14</f>
        <v>1911.6</v>
      </c>
      <c r="R14" s="186">
        <f>K14-Q14</f>
        <v>6256.0020000000004</v>
      </c>
      <c r="S14" s="29">
        <v>430.3321725987945</v>
      </c>
      <c r="T14" s="128">
        <f t="shared" si="7"/>
        <v>1435.16</v>
      </c>
      <c r="U14" s="157">
        <f t="shared" si="5"/>
        <v>140.02000000000001</v>
      </c>
      <c r="V14" s="129">
        <f t="shared" si="6"/>
        <v>2005.5121725987947</v>
      </c>
      <c r="X14" s="169"/>
    </row>
    <row r="15" spans="2:24" ht="21" x14ac:dyDescent="0.35">
      <c r="B15" s="102" t="s">
        <v>26</v>
      </c>
      <c r="C15" s="179" t="s">
        <v>58</v>
      </c>
      <c r="D15" s="102" t="s">
        <v>37</v>
      </c>
      <c r="E15" s="103">
        <v>7443.8</v>
      </c>
      <c r="F15" s="126">
        <v>15</v>
      </c>
      <c r="G15" s="103"/>
      <c r="H15" s="103">
        <v>1240.6333333333332</v>
      </c>
      <c r="I15" s="139"/>
      <c r="J15" s="103"/>
      <c r="K15" s="103">
        <f t="shared" si="1"/>
        <v>8684.4333333333343</v>
      </c>
      <c r="L15" s="103">
        <v>0</v>
      </c>
      <c r="M15" s="103">
        <v>1042.73</v>
      </c>
      <c r="N15" s="103">
        <v>1216.82</v>
      </c>
      <c r="O15" s="103">
        <v>0.17</v>
      </c>
      <c r="P15" s="156">
        <f t="shared" si="2"/>
        <v>856.04</v>
      </c>
      <c r="Q15" s="103">
        <f t="shared" si="3"/>
        <v>2073.0299999999997</v>
      </c>
      <c r="R15" s="186">
        <f t="shared" si="4"/>
        <v>6611.4033333333346</v>
      </c>
      <c r="S15" s="29">
        <v>442.76562804748858</v>
      </c>
      <c r="T15" s="128">
        <f t="shared" si="7"/>
        <v>1525.98</v>
      </c>
      <c r="U15" s="157">
        <f t="shared" si="5"/>
        <v>148.88</v>
      </c>
      <c r="V15" s="129">
        <f t="shared" si="6"/>
        <v>2117.6256280474886</v>
      </c>
      <c r="X15" s="169"/>
    </row>
    <row r="16" spans="2:24" ht="21" x14ac:dyDescent="0.35">
      <c r="B16" s="102" t="s">
        <v>27</v>
      </c>
      <c r="C16" s="179" t="s">
        <v>40</v>
      </c>
      <c r="D16" s="102" t="s">
        <v>117</v>
      </c>
      <c r="E16" s="103">
        <v>4918.3649999999998</v>
      </c>
      <c r="F16" s="126">
        <v>15</v>
      </c>
      <c r="G16" s="127">
        <v>2050</v>
      </c>
      <c r="H16" s="103">
        <v>819.72799999999995</v>
      </c>
      <c r="I16" s="139"/>
      <c r="J16" s="103"/>
      <c r="K16" s="103">
        <f t="shared" si="1"/>
        <v>5738.0929999999998</v>
      </c>
      <c r="L16" s="103">
        <v>0</v>
      </c>
      <c r="M16" s="103">
        <v>508.91</v>
      </c>
      <c r="N16" s="103">
        <v>593.85</v>
      </c>
      <c r="O16" s="103">
        <v>0.03</v>
      </c>
      <c r="P16" s="156">
        <f>ROUND(E16*0.115,2)</f>
        <v>565.61</v>
      </c>
      <c r="Q16" s="103">
        <f>SUM(N16:P16)+G16</f>
        <v>3209.49</v>
      </c>
      <c r="R16" s="186">
        <f t="shared" si="4"/>
        <v>2528.6030000000001</v>
      </c>
      <c r="S16" s="29">
        <v>371.88369386257529</v>
      </c>
      <c r="T16" s="128">
        <f t="shared" si="7"/>
        <v>1008.26</v>
      </c>
      <c r="U16" s="157">
        <f t="shared" si="5"/>
        <v>98.37</v>
      </c>
      <c r="V16" s="129">
        <f t="shared" si="6"/>
        <v>1478.5136938625751</v>
      </c>
      <c r="X16" s="169"/>
    </row>
    <row r="17" spans="2:24" ht="21" x14ac:dyDescent="0.35">
      <c r="B17" s="102" t="s">
        <v>60</v>
      </c>
      <c r="C17" s="179" t="s">
        <v>41</v>
      </c>
      <c r="D17" s="102" t="s">
        <v>118</v>
      </c>
      <c r="E17" s="103">
        <v>4918.3649999999998</v>
      </c>
      <c r="F17" s="126">
        <v>15</v>
      </c>
      <c r="G17" s="127">
        <v>1676.62</v>
      </c>
      <c r="H17" s="103">
        <v>819.72799999999995</v>
      </c>
      <c r="I17" s="139"/>
      <c r="J17" s="103"/>
      <c r="K17" s="103">
        <f t="shared" si="1"/>
        <v>5738.0929999999998</v>
      </c>
      <c r="L17" s="103">
        <v>0</v>
      </c>
      <c r="M17" s="103">
        <v>508.91</v>
      </c>
      <c r="N17" s="103">
        <v>593.85</v>
      </c>
      <c r="O17" s="103">
        <v>-0.19</v>
      </c>
      <c r="P17" s="156">
        <f t="shared" si="2"/>
        <v>565.61</v>
      </c>
      <c r="Q17" s="103">
        <f>SUM(N17:P17)+G17</f>
        <v>2835.89</v>
      </c>
      <c r="R17" s="186">
        <f>K17-Q17</f>
        <v>2902.203</v>
      </c>
      <c r="S17" s="29">
        <v>371.88369386257529</v>
      </c>
      <c r="T17" s="128">
        <f t="shared" si="7"/>
        <v>1008.26</v>
      </c>
      <c r="U17" s="157">
        <f t="shared" si="5"/>
        <v>98.37</v>
      </c>
      <c r="V17" s="129">
        <f t="shared" si="6"/>
        <v>1478.5136938625751</v>
      </c>
      <c r="X17" s="169"/>
    </row>
    <row r="18" spans="2:24" ht="21" x14ac:dyDescent="0.35">
      <c r="B18" s="102" t="s">
        <v>61</v>
      </c>
      <c r="C18" s="179" t="s">
        <v>43</v>
      </c>
      <c r="D18" s="102" t="s">
        <v>3</v>
      </c>
      <c r="E18" s="103">
        <v>4358.17</v>
      </c>
      <c r="F18" s="126">
        <v>15</v>
      </c>
      <c r="G18" s="127">
        <v>969</v>
      </c>
      <c r="H18" s="103">
        <v>726.36200000000008</v>
      </c>
      <c r="I18" s="103"/>
      <c r="J18" s="103"/>
      <c r="K18" s="103">
        <f t="shared" si="1"/>
        <v>5084.5320000000002</v>
      </c>
      <c r="L18" s="103"/>
      <c r="M18" s="103">
        <v>408.52</v>
      </c>
      <c r="N18" s="103">
        <v>476.74</v>
      </c>
      <c r="O18" s="103">
        <v>0</v>
      </c>
      <c r="P18" s="156">
        <f t="shared" si="2"/>
        <v>501.19</v>
      </c>
      <c r="Q18" s="103">
        <f t="shared" si="3"/>
        <v>1946.93</v>
      </c>
      <c r="R18" s="186">
        <f t="shared" si="4"/>
        <v>3137.6019999999999</v>
      </c>
      <c r="S18" s="29">
        <v>356.16053204208214</v>
      </c>
      <c r="T18" s="128">
        <f t="shared" si="7"/>
        <v>893.43</v>
      </c>
      <c r="U18" s="157">
        <f t="shared" si="5"/>
        <v>87.16</v>
      </c>
      <c r="V18" s="129">
        <f t="shared" si="6"/>
        <v>1336.7505320420821</v>
      </c>
      <c r="X18" s="169"/>
    </row>
    <row r="19" spans="2:24" ht="21" x14ac:dyDescent="0.35">
      <c r="B19" s="102" t="s">
        <v>62</v>
      </c>
      <c r="C19" s="179" t="s">
        <v>42</v>
      </c>
      <c r="D19" s="102" t="s">
        <v>119</v>
      </c>
      <c r="E19" s="103">
        <v>4918.3649999999998</v>
      </c>
      <c r="F19" s="126">
        <v>15</v>
      </c>
      <c r="G19" s="127">
        <v>1213.4000000000001</v>
      </c>
      <c r="H19" s="103">
        <v>819.72799999999995</v>
      </c>
      <c r="I19" s="139"/>
      <c r="J19" s="103"/>
      <c r="K19" s="103">
        <f t="shared" si="1"/>
        <v>5738.0929999999998</v>
      </c>
      <c r="L19" s="103"/>
      <c r="M19" s="103">
        <v>508.91</v>
      </c>
      <c r="N19" s="103">
        <v>593.85</v>
      </c>
      <c r="O19" s="103">
        <v>-0.17</v>
      </c>
      <c r="P19" s="156">
        <f t="shared" si="2"/>
        <v>565.61</v>
      </c>
      <c r="Q19" s="103">
        <f t="shared" si="3"/>
        <v>2372.69</v>
      </c>
      <c r="R19" s="186">
        <f t="shared" si="4"/>
        <v>3365.4029999999998</v>
      </c>
      <c r="S19" s="29">
        <v>371.88369386257529</v>
      </c>
      <c r="T19" s="128">
        <f t="shared" si="7"/>
        <v>1008.26</v>
      </c>
      <c r="U19" s="157">
        <f t="shared" si="5"/>
        <v>98.37</v>
      </c>
      <c r="V19" s="129">
        <f t="shared" si="6"/>
        <v>1478.5136938625751</v>
      </c>
      <c r="X19" s="169"/>
    </row>
    <row r="20" spans="2:24" ht="18.75" x14ac:dyDescent="0.3">
      <c r="B20" s="138" t="s">
        <v>20</v>
      </c>
      <c r="C20" s="132"/>
      <c r="D20" s="133"/>
      <c r="E20" s="134">
        <f>SUM(E12:E19)</f>
        <v>53558.664999999994</v>
      </c>
      <c r="F20" s="134"/>
      <c r="G20" s="134">
        <f>+G19+G18+G17+G16+G12</f>
        <v>9303.02</v>
      </c>
      <c r="H20" s="134">
        <f t="shared" ref="H20:V20" si="8">SUM(H12:H19)</f>
        <v>8926.4534666666659</v>
      </c>
      <c r="I20" s="134">
        <f t="shared" si="8"/>
        <v>0</v>
      </c>
      <c r="J20" s="134">
        <f t="shared" si="8"/>
        <v>0</v>
      </c>
      <c r="K20" s="134">
        <f t="shared" si="8"/>
        <v>62485.118466666667</v>
      </c>
      <c r="L20" s="134">
        <f t="shared" ref="L20" si="9">SUM(L12:L19)</f>
        <v>0</v>
      </c>
      <c r="M20" s="134">
        <f>SUM(M12:M19)</f>
        <v>7163.17</v>
      </c>
      <c r="N20" s="134">
        <f t="shared" si="8"/>
        <v>8358.82</v>
      </c>
      <c r="O20" s="134">
        <f t="shared" si="8"/>
        <v>1.999999999999999E-2</v>
      </c>
      <c r="P20" s="134">
        <f>SUM(P12:P19)</f>
        <v>6159.2399999999989</v>
      </c>
      <c r="Q20" s="134">
        <f t="shared" si="8"/>
        <v>23821.099999999995</v>
      </c>
      <c r="R20" s="135">
        <f>SUM(R12:R19)</f>
        <v>38664.018466666668</v>
      </c>
      <c r="S20" s="134">
        <f t="shared" si="8"/>
        <v>3373.9550595138921</v>
      </c>
      <c r="T20" s="134">
        <f t="shared" si="8"/>
        <v>10979.51</v>
      </c>
      <c r="U20" s="134">
        <f>SUM(U12:U19)</f>
        <v>1071.19</v>
      </c>
      <c r="V20" s="134">
        <f t="shared" si="8"/>
        <v>15424.655059513891</v>
      </c>
      <c r="X20" s="169"/>
    </row>
    <row r="21" spans="2:24" ht="18.75" hidden="1" x14ac:dyDescent="0.3">
      <c r="B21" s="138"/>
      <c r="C21" s="136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37"/>
      <c r="X21" s="169"/>
    </row>
    <row r="22" spans="2:24" ht="18.75" x14ac:dyDescent="0.3">
      <c r="B22" s="138" t="s">
        <v>31</v>
      </c>
      <c r="C22" s="132" t="s">
        <v>83</v>
      </c>
      <c r="E22" s="103"/>
      <c r="F22" s="103"/>
      <c r="G22" s="103"/>
      <c r="H22" s="103"/>
      <c r="I22" s="103"/>
      <c r="J22" s="103"/>
      <c r="K22" s="142"/>
      <c r="L22" s="142"/>
      <c r="M22" s="103"/>
      <c r="N22" s="103"/>
      <c r="O22" s="103"/>
      <c r="P22" s="103"/>
      <c r="Q22" s="103"/>
      <c r="R22" s="137"/>
      <c r="X22" s="169"/>
    </row>
    <row r="23" spans="2:24" ht="21" x14ac:dyDescent="0.35">
      <c r="B23" s="102" t="s">
        <v>63</v>
      </c>
      <c r="C23" s="179" t="s">
        <v>110</v>
      </c>
      <c r="D23" s="158" t="s">
        <v>132</v>
      </c>
      <c r="E23" s="103">
        <v>7000.8</v>
      </c>
      <c r="F23" s="126">
        <v>15</v>
      </c>
      <c r="G23" s="103"/>
      <c r="H23" s="103">
        <v>1166.8019999999999</v>
      </c>
      <c r="I23" s="103"/>
      <c r="J23" s="103"/>
      <c r="K23" s="103">
        <f>E23-I23+H23</f>
        <v>8167.6019999999999</v>
      </c>
      <c r="L23" s="103">
        <v>0</v>
      </c>
      <c r="M23" s="103">
        <v>948.11</v>
      </c>
      <c r="N23" s="103">
        <v>1106.42</v>
      </c>
      <c r="O23" s="103">
        <v>0.09</v>
      </c>
      <c r="P23" s="156">
        <f>ROUND(E23*0.115,2)</f>
        <v>805.09</v>
      </c>
      <c r="Q23" s="103">
        <f t="shared" ref="Q23:Q24" si="10">SUM(N23:P23)+G23</f>
        <v>1911.6</v>
      </c>
      <c r="R23" s="186">
        <f>K23-Q23</f>
        <v>6256.0020000000004</v>
      </c>
      <c r="S23" s="170">
        <v>430.3321725987945</v>
      </c>
      <c r="T23" s="128">
        <f t="shared" ref="T23:T26" si="11">ROUND(+E23*17.5%,2)+ROUND(E23*3%,2)</f>
        <v>1435.16</v>
      </c>
      <c r="U23" s="157">
        <f t="shared" ref="U23:U26" si="12">ROUND(+E23*2%,2)</f>
        <v>140.02000000000001</v>
      </c>
      <c r="V23" s="129">
        <f t="shared" ref="V23:V24" si="13">SUM(S23:U23)</f>
        <v>2005.5121725987947</v>
      </c>
      <c r="X23" s="169"/>
    </row>
    <row r="24" spans="2:24" ht="21" x14ac:dyDescent="0.35">
      <c r="B24" s="102" t="s">
        <v>112</v>
      </c>
      <c r="C24" s="179" t="s">
        <v>113</v>
      </c>
      <c r="D24" s="158" t="s">
        <v>133</v>
      </c>
      <c r="E24" s="103">
        <v>7000.8</v>
      </c>
      <c r="F24" s="126">
        <v>15</v>
      </c>
      <c r="G24" s="103"/>
      <c r="H24" s="103">
        <v>1166.8019999999999</v>
      </c>
      <c r="I24" s="103"/>
      <c r="J24" s="103"/>
      <c r="K24" s="103">
        <f>E24-I24+H24</f>
        <v>8167.6019999999999</v>
      </c>
      <c r="L24" s="103">
        <v>0</v>
      </c>
      <c r="M24" s="103">
        <v>948.11</v>
      </c>
      <c r="N24" s="103">
        <v>1106.42</v>
      </c>
      <c r="O24" s="103">
        <v>-0.11</v>
      </c>
      <c r="P24" s="156">
        <f>ROUND(E24*0.115,2)</f>
        <v>805.09</v>
      </c>
      <c r="Q24" s="103">
        <f t="shared" si="10"/>
        <v>1911.4</v>
      </c>
      <c r="R24" s="186">
        <f>K24-Q24</f>
        <v>6256.2019999999993</v>
      </c>
      <c r="S24" s="170">
        <v>430.3321725987945</v>
      </c>
      <c r="T24" s="128">
        <f t="shared" si="11"/>
        <v>1435.16</v>
      </c>
      <c r="U24" s="157">
        <f t="shared" si="12"/>
        <v>140.02000000000001</v>
      </c>
      <c r="V24" s="129">
        <f t="shared" si="13"/>
        <v>2005.5121725987947</v>
      </c>
      <c r="X24" s="169"/>
    </row>
    <row r="25" spans="2:24" ht="21" x14ac:dyDescent="0.35">
      <c r="B25" s="102" t="s">
        <v>64</v>
      </c>
      <c r="C25" s="179" t="s">
        <v>45</v>
      </c>
      <c r="D25" s="102" t="s">
        <v>122</v>
      </c>
      <c r="E25" s="103">
        <v>7000.8</v>
      </c>
      <c r="F25" s="126">
        <v>15</v>
      </c>
      <c r="G25" s="141"/>
      <c r="H25" s="103">
        <v>1166.8019999999999</v>
      </c>
      <c r="I25" s="143"/>
      <c r="J25" s="103"/>
      <c r="K25" s="103">
        <f>E25-I25+H25</f>
        <v>8167.6019999999999</v>
      </c>
      <c r="L25" s="103">
        <v>0</v>
      </c>
      <c r="M25" s="103">
        <v>948.11</v>
      </c>
      <c r="N25" s="103">
        <v>1106.42</v>
      </c>
      <c r="O25" s="103">
        <v>-0.11</v>
      </c>
      <c r="P25" s="156">
        <f>ROUND(E25*0.115,2)</f>
        <v>805.09</v>
      </c>
      <c r="Q25" s="103">
        <f>SUM(N25:P25)+G25</f>
        <v>1911.4</v>
      </c>
      <c r="R25" s="186">
        <f>K25-Q25</f>
        <v>6256.2019999999993</v>
      </c>
      <c r="S25" s="170">
        <v>430.3321725987945</v>
      </c>
      <c r="T25" s="128">
        <f t="shared" si="11"/>
        <v>1435.16</v>
      </c>
      <c r="U25" s="157">
        <f t="shared" si="12"/>
        <v>140.02000000000001</v>
      </c>
      <c r="V25" s="129">
        <f>SUM(S25:U25)</f>
        <v>2005.5121725987947</v>
      </c>
      <c r="X25" s="169"/>
    </row>
    <row r="26" spans="2:24" ht="21" x14ac:dyDescent="0.35">
      <c r="B26" s="102" t="s">
        <v>65</v>
      </c>
      <c r="C26" s="179" t="s">
        <v>59</v>
      </c>
      <c r="D26" s="158" t="s">
        <v>134</v>
      </c>
      <c r="E26" s="103">
        <v>7000.8</v>
      </c>
      <c r="F26" s="126">
        <v>15</v>
      </c>
      <c r="G26" s="127">
        <v>1189</v>
      </c>
      <c r="H26" s="103">
        <v>1166.8019999999999</v>
      </c>
      <c r="I26" s="130"/>
      <c r="J26" s="103"/>
      <c r="K26" s="103">
        <f>E26-I26+H26</f>
        <v>8167.6019999999999</v>
      </c>
      <c r="L26" s="103">
        <v>0</v>
      </c>
      <c r="M26" s="103">
        <v>948.11</v>
      </c>
      <c r="N26" s="103">
        <v>1106.42</v>
      </c>
      <c r="O26" s="103">
        <v>-0.11</v>
      </c>
      <c r="P26" s="156">
        <f>ROUND(E26*0.115,2)</f>
        <v>805.09</v>
      </c>
      <c r="Q26" s="103">
        <f>SUM(N26:P26)+G26</f>
        <v>3100.4</v>
      </c>
      <c r="R26" s="186">
        <f>K26-Q26</f>
        <v>5067.2019999999993</v>
      </c>
      <c r="S26" s="170">
        <v>430.3321725987945</v>
      </c>
      <c r="T26" s="128">
        <f t="shared" si="11"/>
        <v>1435.16</v>
      </c>
      <c r="U26" s="157">
        <f t="shared" si="12"/>
        <v>140.02000000000001</v>
      </c>
      <c r="V26" s="129">
        <f>SUM(S26:U26)</f>
        <v>2005.5121725987947</v>
      </c>
      <c r="X26" s="169"/>
    </row>
    <row r="27" spans="2:24" ht="18.75" x14ac:dyDescent="0.3">
      <c r="B27" s="138" t="s">
        <v>20</v>
      </c>
      <c r="C27" s="132"/>
      <c r="D27" s="133"/>
      <c r="E27" s="134">
        <f>SUM(E23:E26)</f>
        <v>28003.200000000001</v>
      </c>
      <c r="F27" s="134"/>
      <c r="G27" s="134">
        <f>+G26+G25+G23+G24</f>
        <v>1189</v>
      </c>
      <c r="H27" s="134">
        <f t="shared" ref="H27:N27" si="14">SUM(H23:H26)</f>
        <v>4667.2079999999996</v>
      </c>
      <c r="I27" s="134">
        <f t="shared" si="14"/>
        <v>0</v>
      </c>
      <c r="J27" s="134">
        <f t="shared" si="14"/>
        <v>0</v>
      </c>
      <c r="K27" s="134">
        <f t="shared" si="14"/>
        <v>32670.407999999999</v>
      </c>
      <c r="L27" s="134">
        <f t="shared" ref="L27" si="15">SUM(L23:L26)</f>
        <v>0</v>
      </c>
      <c r="M27" s="134">
        <f>SUM(M23:M26)</f>
        <v>3792.44</v>
      </c>
      <c r="N27" s="134">
        <f t="shared" si="14"/>
        <v>4425.68</v>
      </c>
      <c r="O27" s="134">
        <f t="shared" ref="O27:Q27" si="16">SUM(O23:O26)</f>
        <v>-0.24</v>
      </c>
      <c r="P27" s="134">
        <f>SUM(P23:P26)</f>
        <v>3220.36</v>
      </c>
      <c r="Q27" s="134">
        <f t="shared" si="16"/>
        <v>8834.7999999999993</v>
      </c>
      <c r="R27" s="135">
        <f>SUM(R23:R26)</f>
        <v>23835.608</v>
      </c>
      <c r="S27" s="134">
        <f>SUM(S23:S26)</f>
        <v>1721.328690395178</v>
      </c>
      <c r="T27" s="134">
        <f>SUM(T23:T26)</f>
        <v>5740.64</v>
      </c>
      <c r="U27" s="134">
        <f>SUM(U23:U26)</f>
        <v>560.08000000000004</v>
      </c>
      <c r="V27" s="134">
        <f>SUM(V23:V26)</f>
        <v>8022.0486903951787</v>
      </c>
      <c r="X27" s="169"/>
    </row>
    <row r="28" spans="2:24" ht="18.75" hidden="1" x14ac:dyDescent="0.3">
      <c r="C28" s="136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37"/>
      <c r="X28" s="169"/>
    </row>
    <row r="29" spans="2:24" ht="18.75" x14ac:dyDescent="0.3">
      <c r="B29" s="138" t="s">
        <v>33</v>
      </c>
      <c r="C29" s="132" t="s">
        <v>32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37"/>
      <c r="X29" s="169"/>
    </row>
    <row r="30" spans="2:24" ht="21" x14ac:dyDescent="0.35">
      <c r="B30" s="102" t="s">
        <v>66</v>
      </c>
      <c r="C30" s="179" t="s">
        <v>49</v>
      </c>
      <c r="D30" s="158" t="s">
        <v>128</v>
      </c>
      <c r="E30" s="103">
        <v>7000.8</v>
      </c>
      <c r="F30" s="126">
        <v>15</v>
      </c>
      <c r="G30" s="103"/>
      <c r="H30" s="103">
        <v>1166.8019999999999</v>
      </c>
      <c r="I30" s="144"/>
      <c r="J30" s="103"/>
      <c r="K30" s="103">
        <f t="shared" ref="K30:K40" si="17">E30-I30+H30</f>
        <v>8167.6019999999999</v>
      </c>
      <c r="L30" s="103">
        <v>0</v>
      </c>
      <c r="M30" s="103">
        <v>948.11</v>
      </c>
      <c r="N30" s="103">
        <v>1106.42</v>
      </c>
      <c r="O30" s="103">
        <v>0.09</v>
      </c>
      <c r="P30" s="156">
        <f>ROUND(E30*0.115,2)</f>
        <v>805.09</v>
      </c>
      <c r="Q30" s="103">
        <f t="shared" ref="Q30:Q40" si="18">SUM(N30:P30)+G30</f>
        <v>1911.6</v>
      </c>
      <c r="R30" s="186">
        <f t="shared" ref="R30:R38" si="19">K30-Q30</f>
        <v>6256.0020000000004</v>
      </c>
      <c r="S30" s="170">
        <v>430.3321725987945</v>
      </c>
      <c r="T30" s="128">
        <f t="shared" ref="T30:T40" si="20">ROUND(+E30*17.5%,2)+ROUND(E30*3%,2)</f>
        <v>1435.16</v>
      </c>
      <c r="U30" s="157">
        <f t="shared" ref="U30:U40" si="21">ROUND(+E30*2%,2)</f>
        <v>140.02000000000001</v>
      </c>
      <c r="V30" s="129">
        <f>SUM(S30:U30)</f>
        <v>2005.5121725987947</v>
      </c>
      <c r="X30" s="169"/>
    </row>
    <row r="31" spans="2:24" ht="21" x14ac:dyDescent="0.35">
      <c r="B31" s="102" t="s">
        <v>67</v>
      </c>
      <c r="C31" s="179" t="s">
        <v>51</v>
      </c>
      <c r="D31" s="158" t="s">
        <v>135</v>
      </c>
      <c r="E31" s="103">
        <v>7000.8</v>
      </c>
      <c r="F31" s="126">
        <v>15</v>
      </c>
      <c r="G31" s="141"/>
      <c r="H31" s="103">
        <v>1166.8019999999999</v>
      </c>
      <c r="I31" s="130"/>
      <c r="J31" s="141"/>
      <c r="K31" s="103">
        <f t="shared" si="17"/>
        <v>8167.6019999999999</v>
      </c>
      <c r="L31" s="141">
        <v>0</v>
      </c>
      <c r="M31" s="103">
        <v>948.11</v>
      </c>
      <c r="N31" s="103">
        <v>1106.42</v>
      </c>
      <c r="O31" s="103">
        <v>0.09</v>
      </c>
      <c r="P31" s="156">
        <f t="shared" ref="P31:P40" si="22">ROUND(E31*0.115,2)</f>
        <v>805.09</v>
      </c>
      <c r="Q31" s="103">
        <f>SUM(N31:P31)+G31</f>
        <v>1911.6</v>
      </c>
      <c r="R31" s="186">
        <f t="shared" si="19"/>
        <v>6256.0020000000004</v>
      </c>
      <c r="S31" s="170">
        <v>430.3321725987945</v>
      </c>
      <c r="T31" s="128">
        <f t="shared" si="20"/>
        <v>1435.16</v>
      </c>
      <c r="U31" s="157">
        <f t="shared" si="21"/>
        <v>140.02000000000001</v>
      </c>
      <c r="V31" s="129">
        <f>SUM(S31:U31)</f>
        <v>2005.5121725987947</v>
      </c>
      <c r="X31" s="169"/>
    </row>
    <row r="32" spans="2:24" ht="21" x14ac:dyDescent="0.35">
      <c r="B32" s="102" t="s">
        <v>68</v>
      </c>
      <c r="C32" s="179" t="s">
        <v>48</v>
      </c>
      <c r="D32" s="102" t="s">
        <v>123</v>
      </c>
      <c r="E32" s="103">
        <v>7443.8</v>
      </c>
      <c r="F32" s="126">
        <v>15</v>
      </c>
      <c r="G32" s="103"/>
      <c r="H32" s="103">
        <v>1240.6333333333332</v>
      </c>
      <c r="I32" s="130"/>
      <c r="J32" s="103"/>
      <c r="K32" s="103">
        <f t="shared" si="17"/>
        <v>8684.4333333333343</v>
      </c>
      <c r="L32" s="103">
        <v>0</v>
      </c>
      <c r="M32" s="103">
        <v>1042.73</v>
      </c>
      <c r="N32" s="103">
        <v>1216.82</v>
      </c>
      <c r="O32" s="103">
        <v>-0.03</v>
      </c>
      <c r="P32" s="156">
        <f t="shared" si="22"/>
        <v>856.04</v>
      </c>
      <c r="Q32" s="103">
        <f t="shared" si="18"/>
        <v>2072.83</v>
      </c>
      <c r="R32" s="186">
        <f t="shared" si="19"/>
        <v>6611.6033333333344</v>
      </c>
      <c r="S32" s="170">
        <v>442.76562804748858</v>
      </c>
      <c r="T32" s="128">
        <f t="shared" si="20"/>
        <v>1525.98</v>
      </c>
      <c r="U32" s="157">
        <f>ROUND(+E32*2%,2)</f>
        <v>148.88</v>
      </c>
      <c r="V32" s="129">
        <f t="shared" ref="V32:V40" si="23">SUM(S32:U32)</f>
        <v>2117.6256280474886</v>
      </c>
      <c r="X32" s="169"/>
    </row>
    <row r="33" spans="2:24" ht="21" x14ac:dyDescent="0.35">
      <c r="B33" s="102" t="s">
        <v>77</v>
      </c>
      <c r="C33" s="179" t="s">
        <v>111</v>
      </c>
      <c r="D33" s="102" t="s">
        <v>127</v>
      </c>
      <c r="E33" s="103">
        <v>7000.8</v>
      </c>
      <c r="F33" s="126">
        <v>15</v>
      </c>
      <c r="G33" s="127">
        <v>1167</v>
      </c>
      <c r="H33" s="103">
        <v>1166.8019999999999</v>
      </c>
      <c r="I33" s="144"/>
      <c r="J33" s="103"/>
      <c r="K33" s="103">
        <f t="shared" si="17"/>
        <v>8167.6019999999999</v>
      </c>
      <c r="L33" s="103">
        <v>0</v>
      </c>
      <c r="M33" s="103">
        <v>948.11</v>
      </c>
      <c r="N33" s="103">
        <v>1106.42</v>
      </c>
      <c r="O33" s="103">
        <v>0.09</v>
      </c>
      <c r="P33" s="156">
        <f t="shared" si="22"/>
        <v>805.09</v>
      </c>
      <c r="Q33" s="103">
        <f>SUM(N33:P33)+G33</f>
        <v>3078.6</v>
      </c>
      <c r="R33" s="186">
        <f>K33-Q33</f>
        <v>5089.0020000000004</v>
      </c>
      <c r="S33" s="170">
        <v>430.3321725987945</v>
      </c>
      <c r="T33" s="128">
        <f t="shared" si="20"/>
        <v>1435.16</v>
      </c>
      <c r="U33" s="157">
        <f t="shared" si="21"/>
        <v>140.02000000000001</v>
      </c>
      <c r="V33" s="129">
        <f t="shared" si="23"/>
        <v>2005.5121725987947</v>
      </c>
      <c r="X33" s="169"/>
    </row>
    <row r="34" spans="2:24" ht="21" x14ac:dyDescent="0.35">
      <c r="B34" s="102" t="s">
        <v>70</v>
      </c>
      <c r="C34" s="179" t="s">
        <v>46</v>
      </c>
      <c r="D34" s="102" t="s">
        <v>124</v>
      </c>
      <c r="E34" s="103">
        <v>7000.8</v>
      </c>
      <c r="F34" s="126">
        <v>15</v>
      </c>
      <c r="G34" s="127">
        <v>572.98</v>
      </c>
      <c r="H34" s="103">
        <v>1166.8019999999999</v>
      </c>
      <c r="I34" s="139"/>
      <c r="J34" s="141"/>
      <c r="K34" s="103">
        <f t="shared" si="17"/>
        <v>8167.6019999999999</v>
      </c>
      <c r="L34" s="141">
        <v>0</v>
      </c>
      <c r="M34" s="103">
        <v>948.11</v>
      </c>
      <c r="N34" s="103">
        <v>1106.42</v>
      </c>
      <c r="O34" s="103">
        <v>0.11</v>
      </c>
      <c r="P34" s="156">
        <f t="shared" si="22"/>
        <v>805.09</v>
      </c>
      <c r="Q34" s="103">
        <f t="shared" si="18"/>
        <v>2484.6</v>
      </c>
      <c r="R34" s="186">
        <f t="shared" si="19"/>
        <v>5683.0020000000004</v>
      </c>
      <c r="S34" s="170">
        <v>430.3321725987945</v>
      </c>
      <c r="T34" s="128">
        <f t="shared" si="20"/>
        <v>1435.16</v>
      </c>
      <c r="U34" s="157">
        <f t="shared" si="21"/>
        <v>140.02000000000001</v>
      </c>
      <c r="V34" s="129">
        <f t="shared" si="23"/>
        <v>2005.5121725987947</v>
      </c>
      <c r="X34" s="169"/>
    </row>
    <row r="35" spans="2:24" ht="21" x14ac:dyDescent="0.35">
      <c r="B35" s="102" t="s">
        <v>71</v>
      </c>
      <c r="C35" s="179" t="s">
        <v>50</v>
      </c>
      <c r="D35" s="102" t="s">
        <v>124</v>
      </c>
      <c r="E35" s="103">
        <v>7000.8</v>
      </c>
      <c r="F35" s="126">
        <v>15</v>
      </c>
      <c r="G35" s="103"/>
      <c r="H35" s="141">
        <v>1166.8019999999999</v>
      </c>
      <c r="I35" s="130"/>
      <c r="J35" s="141"/>
      <c r="K35" s="103">
        <f t="shared" si="17"/>
        <v>8167.6019999999999</v>
      </c>
      <c r="L35" s="141">
        <v>0</v>
      </c>
      <c r="M35" s="103">
        <v>948.11</v>
      </c>
      <c r="N35" s="103">
        <v>1106.42</v>
      </c>
      <c r="O35" s="103">
        <v>-0.11</v>
      </c>
      <c r="P35" s="156">
        <f t="shared" si="22"/>
        <v>805.09</v>
      </c>
      <c r="Q35" s="103">
        <f t="shared" si="18"/>
        <v>1911.4</v>
      </c>
      <c r="R35" s="186">
        <f t="shared" si="19"/>
        <v>6256.2019999999993</v>
      </c>
      <c r="S35" s="170">
        <v>430.3321725987945</v>
      </c>
      <c r="T35" s="128">
        <f t="shared" si="20"/>
        <v>1435.16</v>
      </c>
      <c r="U35" s="157">
        <f t="shared" si="21"/>
        <v>140.02000000000001</v>
      </c>
      <c r="V35" s="129">
        <f t="shared" si="23"/>
        <v>2005.5121725987947</v>
      </c>
      <c r="X35" s="169"/>
    </row>
    <row r="36" spans="2:24" ht="21" x14ac:dyDescent="0.35">
      <c r="B36" s="102" t="s">
        <v>72</v>
      </c>
      <c r="C36" s="179" t="s">
        <v>52</v>
      </c>
      <c r="D36" s="102" t="s">
        <v>124</v>
      </c>
      <c r="E36" s="103">
        <v>7000.8</v>
      </c>
      <c r="F36" s="126">
        <v>15</v>
      </c>
      <c r="G36" s="103"/>
      <c r="H36" s="103">
        <v>1166.8019999999999</v>
      </c>
      <c r="I36" s="139"/>
      <c r="J36" s="141"/>
      <c r="K36" s="103">
        <f t="shared" si="17"/>
        <v>8167.6019999999999</v>
      </c>
      <c r="L36" s="141">
        <v>0</v>
      </c>
      <c r="M36" s="103">
        <v>948.11</v>
      </c>
      <c r="N36" s="103">
        <v>1106.42</v>
      </c>
      <c r="O36" s="103">
        <v>0.09</v>
      </c>
      <c r="P36" s="156">
        <f t="shared" si="22"/>
        <v>805.09</v>
      </c>
      <c r="Q36" s="103">
        <f t="shared" si="18"/>
        <v>1911.6</v>
      </c>
      <c r="R36" s="186">
        <f t="shared" si="19"/>
        <v>6256.0020000000004</v>
      </c>
      <c r="S36" s="170">
        <v>430.3321725987945</v>
      </c>
      <c r="T36" s="128">
        <f t="shared" si="20"/>
        <v>1435.16</v>
      </c>
      <c r="U36" s="157">
        <f t="shared" si="21"/>
        <v>140.02000000000001</v>
      </c>
      <c r="V36" s="129">
        <f t="shared" si="23"/>
        <v>2005.5121725987947</v>
      </c>
      <c r="X36" s="169"/>
    </row>
    <row r="37" spans="2:24" ht="21" x14ac:dyDescent="0.35">
      <c r="B37" s="102" t="s">
        <v>73</v>
      </c>
      <c r="C37" s="179" t="s">
        <v>47</v>
      </c>
      <c r="D37" s="102" t="s">
        <v>125</v>
      </c>
      <c r="E37" s="103">
        <v>7000.8</v>
      </c>
      <c r="F37" s="126">
        <v>15</v>
      </c>
      <c r="G37" s="141"/>
      <c r="H37" s="103">
        <v>1166.8019999999999</v>
      </c>
      <c r="I37" s="145"/>
      <c r="J37" s="103"/>
      <c r="K37" s="103">
        <f t="shared" si="17"/>
        <v>8167.6019999999999</v>
      </c>
      <c r="L37" s="103">
        <v>0</v>
      </c>
      <c r="M37" s="103">
        <v>948.11</v>
      </c>
      <c r="N37" s="103">
        <v>1106.42</v>
      </c>
      <c r="O37" s="103">
        <v>0.09</v>
      </c>
      <c r="P37" s="156">
        <f t="shared" si="22"/>
        <v>805.09</v>
      </c>
      <c r="Q37" s="103">
        <f>SUM(N37:P37)+G37</f>
        <v>1911.6</v>
      </c>
      <c r="R37" s="186">
        <f>K37-Q37</f>
        <v>6256.0020000000004</v>
      </c>
      <c r="S37" s="170">
        <v>430.3321725987945</v>
      </c>
      <c r="T37" s="128">
        <f t="shared" si="20"/>
        <v>1435.16</v>
      </c>
      <c r="U37" s="157">
        <f t="shared" si="21"/>
        <v>140.02000000000001</v>
      </c>
      <c r="V37" s="129">
        <f t="shared" si="23"/>
        <v>2005.5121725987947</v>
      </c>
      <c r="X37" s="169"/>
    </row>
    <row r="38" spans="2:24" ht="21" x14ac:dyDescent="0.35">
      <c r="B38" s="102" t="s">
        <v>74</v>
      </c>
      <c r="C38" s="179" t="s">
        <v>53</v>
      </c>
      <c r="D38" s="102" t="s">
        <v>125</v>
      </c>
      <c r="E38" s="103">
        <v>7000.8</v>
      </c>
      <c r="F38" s="126">
        <v>15</v>
      </c>
      <c r="G38" s="127">
        <v>1500</v>
      </c>
      <c r="H38" s="103">
        <v>1166.8019999999999</v>
      </c>
      <c r="I38" s="139"/>
      <c r="J38" s="103"/>
      <c r="K38" s="103">
        <f t="shared" si="17"/>
        <v>8167.6019999999999</v>
      </c>
      <c r="L38" s="103">
        <v>0</v>
      </c>
      <c r="M38" s="103">
        <v>948.11</v>
      </c>
      <c r="N38" s="103">
        <v>1106.42</v>
      </c>
      <c r="O38" s="103">
        <v>-0.11</v>
      </c>
      <c r="P38" s="156">
        <f t="shared" si="22"/>
        <v>805.09</v>
      </c>
      <c r="Q38" s="103">
        <f>SUM(N38:P38)+G38</f>
        <v>3411.4</v>
      </c>
      <c r="R38" s="186">
        <f t="shared" si="19"/>
        <v>4756.2019999999993</v>
      </c>
      <c r="S38" s="170">
        <v>430.3321725987945</v>
      </c>
      <c r="T38" s="128">
        <f t="shared" si="20"/>
        <v>1435.16</v>
      </c>
      <c r="U38" s="157">
        <f t="shared" si="21"/>
        <v>140.02000000000001</v>
      </c>
      <c r="V38" s="129">
        <f t="shared" si="23"/>
        <v>2005.5121725987947</v>
      </c>
      <c r="X38" s="169"/>
    </row>
    <row r="39" spans="2:24" ht="21" x14ac:dyDescent="0.35">
      <c r="B39" s="102" t="s">
        <v>75</v>
      </c>
      <c r="C39" s="179" t="s">
        <v>39</v>
      </c>
      <c r="D39" s="102" t="s">
        <v>126</v>
      </c>
      <c r="E39" s="103">
        <v>7000.8</v>
      </c>
      <c r="F39" s="126">
        <v>15</v>
      </c>
      <c r="G39" s="141"/>
      <c r="H39" s="103">
        <v>1166.8019999999999</v>
      </c>
      <c r="I39" s="144"/>
      <c r="J39" s="103"/>
      <c r="K39" s="103">
        <f t="shared" si="17"/>
        <v>8167.6019999999999</v>
      </c>
      <c r="L39" s="103">
        <v>0</v>
      </c>
      <c r="M39" s="103">
        <v>948.11</v>
      </c>
      <c r="N39" s="103">
        <v>1106.42</v>
      </c>
      <c r="O39" s="103">
        <v>-0.11</v>
      </c>
      <c r="P39" s="156">
        <f t="shared" si="22"/>
        <v>805.09</v>
      </c>
      <c r="Q39" s="103">
        <f>SUM(N39:P39)+G39</f>
        <v>1911.4</v>
      </c>
      <c r="R39" s="186">
        <f>K39-Q39</f>
        <v>6256.2019999999993</v>
      </c>
      <c r="S39" s="170">
        <v>430.3321725987945</v>
      </c>
      <c r="T39" s="128">
        <f t="shared" si="20"/>
        <v>1435.16</v>
      </c>
      <c r="U39" s="157">
        <f t="shared" si="21"/>
        <v>140.02000000000001</v>
      </c>
      <c r="V39" s="129">
        <f t="shared" si="23"/>
        <v>2005.5121725987947</v>
      </c>
      <c r="X39" s="169"/>
    </row>
    <row r="40" spans="2:24" ht="21" x14ac:dyDescent="0.35">
      <c r="B40" s="102" t="s">
        <v>76</v>
      </c>
      <c r="C40" s="179" t="s">
        <v>54</v>
      </c>
      <c r="D40" s="102" t="s">
        <v>126</v>
      </c>
      <c r="E40" s="103">
        <v>7000.8</v>
      </c>
      <c r="F40" s="126">
        <v>15</v>
      </c>
      <c r="G40" s="127">
        <v>1910</v>
      </c>
      <c r="H40" s="103">
        <v>1166.8019999999999</v>
      </c>
      <c r="I40" s="144"/>
      <c r="J40" s="103"/>
      <c r="K40" s="103">
        <f t="shared" si="17"/>
        <v>8167.6019999999999</v>
      </c>
      <c r="L40" s="103">
        <v>0</v>
      </c>
      <c r="M40" s="103">
        <v>948.11</v>
      </c>
      <c r="N40" s="103">
        <v>1106.42</v>
      </c>
      <c r="O40" s="103">
        <v>0.09</v>
      </c>
      <c r="P40" s="156">
        <f t="shared" si="22"/>
        <v>805.09</v>
      </c>
      <c r="Q40" s="103">
        <f t="shared" si="18"/>
        <v>3821.6</v>
      </c>
      <c r="R40" s="186">
        <f>K40-Q40</f>
        <v>4346.0020000000004</v>
      </c>
      <c r="S40" s="170">
        <v>430.3321725987945</v>
      </c>
      <c r="T40" s="128">
        <f t="shared" si="20"/>
        <v>1435.16</v>
      </c>
      <c r="U40" s="157">
        <f t="shared" si="21"/>
        <v>140.02000000000001</v>
      </c>
      <c r="V40" s="129">
        <f t="shared" si="23"/>
        <v>2005.5121725987947</v>
      </c>
      <c r="X40" s="169"/>
    </row>
    <row r="41" spans="2:24" ht="18.75" x14ac:dyDescent="0.3">
      <c r="B41" s="138" t="s">
        <v>20</v>
      </c>
      <c r="C41" s="132"/>
      <c r="D41" s="133"/>
      <c r="E41" s="134">
        <f>SUM(E30:E40)</f>
        <v>77451.800000000017</v>
      </c>
      <c r="F41" s="134"/>
      <c r="G41" s="134">
        <f>+G40+G39+G38+G37+G36+G35+G34+G31+G33</f>
        <v>5149.9799999999996</v>
      </c>
      <c r="H41" s="134">
        <f t="shared" ref="H41:J41" si="24">SUM(H30:H40)</f>
        <v>12908.653333333332</v>
      </c>
      <c r="I41" s="134">
        <f t="shared" si="24"/>
        <v>0</v>
      </c>
      <c r="J41" s="134">
        <f t="shared" si="24"/>
        <v>0</v>
      </c>
      <c r="K41" s="134">
        <f>SUM(K30:K40)</f>
        <v>90360.453333333324</v>
      </c>
      <c r="L41" s="134">
        <f>SUM(L30:L40)</f>
        <v>0</v>
      </c>
      <c r="M41" s="134">
        <f>SUM(M30:M40)</f>
        <v>10523.83</v>
      </c>
      <c r="N41" s="134">
        <f>SUM(N30:N40)</f>
        <v>12281.02</v>
      </c>
      <c r="O41" s="134">
        <f t="shared" ref="O41:V41" si="25">SUM(O30:O40)</f>
        <v>0.28999999999999992</v>
      </c>
      <c r="P41" s="134">
        <f>SUM(P30:P40)</f>
        <v>8906.94</v>
      </c>
      <c r="Q41" s="134">
        <f t="shared" si="25"/>
        <v>26338.23</v>
      </c>
      <c r="R41" s="135">
        <f t="shared" si="25"/>
        <v>64022.223333333328</v>
      </c>
      <c r="S41" s="134">
        <f t="shared" si="25"/>
        <v>4746.0873540354332</v>
      </c>
      <c r="T41" s="134">
        <f t="shared" si="25"/>
        <v>15877.58</v>
      </c>
      <c r="U41" s="134">
        <f>SUM(U30:U40)</f>
        <v>1549.08</v>
      </c>
      <c r="V41" s="134">
        <f t="shared" si="25"/>
        <v>22172.74735403544</v>
      </c>
      <c r="X41" s="169"/>
    </row>
    <row r="42" spans="2:24" ht="18.75" hidden="1" x14ac:dyDescent="0.3">
      <c r="C42" s="136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37"/>
      <c r="X42" s="169"/>
    </row>
    <row r="43" spans="2:24" ht="18.75" x14ac:dyDescent="0.3">
      <c r="B43" s="138" t="s">
        <v>78</v>
      </c>
      <c r="C43" s="132" t="s">
        <v>34</v>
      </c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37"/>
      <c r="X43" s="169"/>
    </row>
    <row r="44" spans="2:24" ht="21" x14ac:dyDescent="0.35">
      <c r="B44" s="102" t="s">
        <v>69</v>
      </c>
      <c r="C44" s="179" t="s">
        <v>55</v>
      </c>
      <c r="D44" s="102" t="s">
        <v>130</v>
      </c>
      <c r="E44" s="103">
        <v>7443.8</v>
      </c>
      <c r="F44" s="126">
        <v>15</v>
      </c>
      <c r="G44" s="137"/>
      <c r="H44" s="103">
        <v>1240.6333333333332</v>
      </c>
      <c r="I44" s="144"/>
      <c r="J44" s="141"/>
      <c r="K44" s="103">
        <f>E44-I44+H44</f>
        <v>8684.4333333333343</v>
      </c>
      <c r="L44" s="141">
        <v>0</v>
      </c>
      <c r="M44" s="103">
        <v>1042.73</v>
      </c>
      <c r="N44" s="103">
        <v>1216.82</v>
      </c>
      <c r="O44" s="103">
        <v>-0.03</v>
      </c>
      <c r="P44" s="156">
        <f t="shared" ref="P44:P46" si="26">ROUND(E44*0.115,2)</f>
        <v>856.04</v>
      </c>
      <c r="Q44" s="103">
        <f t="shared" ref="Q44" si="27">SUM(N44:P44)+G44</f>
        <v>2072.83</v>
      </c>
      <c r="R44" s="186">
        <f t="shared" ref="R44" si="28">K44-Q44</f>
        <v>6611.6033333333344</v>
      </c>
      <c r="S44" s="170">
        <v>442.76562804748858</v>
      </c>
      <c r="T44" s="128">
        <f t="shared" ref="T44:T46" si="29">ROUND(+E44*17.5%,2)+ROUND(E44*3%,2)</f>
        <v>1525.98</v>
      </c>
      <c r="U44" s="157">
        <f t="shared" ref="U44:U46" si="30">ROUND(+E44*2%,2)</f>
        <v>148.88</v>
      </c>
      <c r="V44" s="129">
        <f t="shared" ref="V44:V46" si="31">SUM(S44:U44)</f>
        <v>2117.6256280474886</v>
      </c>
      <c r="X44" s="169"/>
    </row>
    <row r="45" spans="2:24" ht="21" x14ac:dyDescent="0.35">
      <c r="B45" s="102" t="s">
        <v>81</v>
      </c>
      <c r="C45" s="179" t="s">
        <v>44</v>
      </c>
      <c r="D45" s="102" t="s">
        <v>128</v>
      </c>
      <c r="E45" s="103">
        <v>7000.8</v>
      </c>
      <c r="F45" s="126">
        <v>15</v>
      </c>
      <c r="G45" s="141"/>
      <c r="H45" s="103">
        <v>1166.8019999999999</v>
      </c>
      <c r="I45" s="144"/>
      <c r="J45" s="103"/>
      <c r="K45" s="103">
        <f>E45-I45+H45</f>
        <v>8167.6019999999999</v>
      </c>
      <c r="L45" s="103">
        <v>0</v>
      </c>
      <c r="M45" s="103">
        <v>948.11</v>
      </c>
      <c r="N45" s="103">
        <v>1106.42</v>
      </c>
      <c r="O45" s="103">
        <v>0.09</v>
      </c>
      <c r="P45" s="156">
        <f t="shared" si="26"/>
        <v>805.09</v>
      </c>
      <c r="Q45" s="103">
        <f>SUM(N45:P45)+G45</f>
        <v>1911.6</v>
      </c>
      <c r="R45" s="186">
        <f>K45-Q45</f>
        <v>6256.0020000000004</v>
      </c>
      <c r="S45" s="170">
        <v>430.3321725987945</v>
      </c>
      <c r="T45" s="128">
        <f t="shared" si="29"/>
        <v>1435.16</v>
      </c>
      <c r="U45" s="157">
        <f t="shared" si="30"/>
        <v>140.02000000000001</v>
      </c>
      <c r="V45" s="129">
        <f t="shared" si="31"/>
        <v>2005.5121725987947</v>
      </c>
      <c r="X45" s="169"/>
    </row>
    <row r="46" spans="2:24" ht="21" x14ac:dyDescent="0.35">
      <c r="B46" s="102" t="s">
        <v>107</v>
      </c>
      <c r="C46" s="179" t="s">
        <v>108</v>
      </c>
      <c r="D46" s="102" t="s">
        <v>109</v>
      </c>
      <c r="E46" s="103">
        <v>7000.8</v>
      </c>
      <c r="F46" s="126">
        <v>15</v>
      </c>
      <c r="G46" s="103"/>
      <c r="H46" s="103">
        <v>1166.8019999999999</v>
      </c>
      <c r="I46" s="103"/>
      <c r="J46" s="103"/>
      <c r="K46" s="103">
        <f>E46-I46+H46</f>
        <v>8167.6019999999999</v>
      </c>
      <c r="L46" s="103">
        <v>0</v>
      </c>
      <c r="M46" s="103">
        <v>948.11</v>
      </c>
      <c r="N46" s="103">
        <v>1106.42</v>
      </c>
      <c r="O46" s="103">
        <v>-0.11</v>
      </c>
      <c r="P46" s="156">
        <f t="shared" si="26"/>
        <v>805.09</v>
      </c>
      <c r="Q46" s="103">
        <f>SUM(N46:P46)+G46</f>
        <v>1911.4</v>
      </c>
      <c r="R46" s="186">
        <f>K46-Q46</f>
        <v>6256.2019999999993</v>
      </c>
      <c r="S46" s="170">
        <v>430.3321725987945</v>
      </c>
      <c r="T46" s="128">
        <f t="shared" si="29"/>
        <v>1435.16</v>
      </c>
      <c r="U46" s="157">
        <f t="shared" si="30"/>
        <v>140.02000000000001</v>
      </c>
      <c r="V46" s="129">
        <f t="shared" si="31"/>
        <v>2005.5121725987947</v>
      </c>
      <c r="X46" s="169"/>
    </row>
    <row r="47" spans="2:24" ht="18.75" x14ac:dyDescent="0.3">
      <c r="B47" s="138" t="s">
        <v>20</v>
      </c>
      <c r="C47" s="132"/>
      <c r="D47" s="133"/>
      <c r="E47" s="134">
        <f>E44+E45+E46</f>
        <v>21445.4</v>
      </c>
      <c r="F47" s="134"/>
      <c r="G47" s="134">
        <f t="shared" ref="G47:V47" si="32">G44+G45+G46</f>
        <v>0</v>
      </c>
      <c r="H47" s="134">
        <f t="shared" si="32"/>
        <v>3574.2373333333326</v>
      </c>
      <c r="I47" s="134">
        <f t="shared" si="32"/>
        <v>0</v>
      </c>
      <c r="J47" s="134">
        <f t="shared" si="32"/>
        <v>0</v>
      </c>
      <c r="K47" s="134">
        <f>K44+K45+K46</f>
        <v>25019.637333333332</v>
      </c>
      <c r="L47" s="134">
        <f t="shared" ref="L47:M47" si="33">L44+L45+L46</f>
        <v>0</v>
      </c>
      <c r="M47" s="134">
        <f t="shared" si="33"/>
        <v>2938.9500000000003</v>
      </c>
      <c r="N47" s="134">
        <f>N44+N45+N46</f>
        <v>3429.66</v>
      </c>
      <c r="O47" s="134">
        <f t="shared" si="32"/>
        <v>-0.05</v>
      </c>
      <c r="P47" s="134">
        <f>P44+P45+P46</f>
        <v>2466.2200000000003</v>
      </c>
      <c r="Q47" s="134">
        <f t="shared" si="32"/>
        <v>5895.83</v>
      </c>
      <c r="R47" s="135">
        <f t="shared" si="32"/>
        <v>19123.807333333334</v>
      </c>
      <c r="S47" s="134">
        <f t="shared" si="32"/>
        <v>1303.4299732450777</v>
      </c>
      <c r="T47" s="134">
        <f t="shared" si="32"/>
        <v>4396.3</v>
      </c>
      <c r="U47" s="134">
        <f>U44+U45+U46</f>
        <v>428.91999999999996</v>
      </c>
      <c r="V47" s="134">
        <f t="shared" si="32"/>
        <v>6128.6499732450784</v>
      </c>
      <c r="X47" s="169"/>
    </row>
    <row r="48" spans="2:24" ht="18.75" hidden="1" x14ac:dyDescent="0.3">
      <c r="B48" s="138"/>
      <c r="C48" s="136"/>
      <c r="E48" s="103"/>
      <c r="F48" s="103"/>
      <c r="G48" s="103"/>
      <c r="H48" s="103"/>
      <c r="I48" s="103"/>
      <c r="J48" s="103"/>
      <c r="K48" s="146"/>
      <c r="L48" s="146"/>
      <c r="M48" s="146"/>
      <c r="N48" s="146"/>
      <c r="O48" s="146"/>
      <c r="P48" s="146"/>
      <c r="Q48" s="146"/>
      <c r="R48" s="147"/>
      <c r="S48" s="148"/>
      <c r="T48" s="148"/>
      <c r="U48" s="148"/>
      <c r="V48" s="148"/>
      <c r="X48" s="169"/>
    </row>
    <row r="49" spans="2:24" ht="18.75" x14ac:dyDescent="0.3">
      <c r="B49" s="138" t="s">
        <v>84</v>
      </c>
      <c r="C49" s="132" t="s">
        <v>85</v>
      </c>
      <c r="E49" s="103"/>
      <c r="F49" s="103"/>
      <c r="G49" s="103"/>
      <c r="H49" s="103"/>
      <c r="I49" s="103"/>
      <c r="J49" s="103"/>
      <c r="K49" s="146"/>
      <c r="L49" s="146"/>
      <c r="M49" s="146"/>
      <c r="N49" s="146"/>
      <c r="O49" s="146"/>
      <c r="P49" s="146"/>
      <c r="Q49" s="146"/>
      <c r="R49" s="147"/>
      <c r="S49" s="148"/>
      <c r="T49" s="148"/>
      <c r="U49" s="148"/>
      <c r="V49" s="148"/>
      <c r="X49" s="169"/>
    </row>
    <row r="50" spans="2:24" ht="21" x14ac:dyDescent="0.35">
      <c r="B50" s="102" t="s">
        <v>86</v>
      </c>
      <c r="C50" s="179" t="s">
        <v>30</v>
      </c>
      <c r="D50" s="102" t="s">
        <v>114</v>
      </c>
      <c r="E50" s="103">
        <v>13000</v>
      </c>
      <c r="F50" s="126">
        <v>15</v>
      </c>
      <c r="G50" s="127">
        <v>6080.29</v>
      </c>
      <c r="H50" s="103">
        <v>2166.6666666666665</v>
      </c>
      <c r="I50" s="103"/>
      <c r="J50" s="103"/>
      <c r="K50" s="103">
        <f>E50-I50+H50</f>
        <v>15166.666666666666</v>
      </c>
      <c r="L50" s="103">
        <v>0</v>
      </c>
      <c r="M50" s="103">
        <v>2288.9699999999998</v>
      </c>
      <c r="N50" s="103">
        <v>2670.87</v>
      </c>
      <c r="O50" s="103">
        <v>-0.09</v>
      </c>
      <c r="P50" s="156">
        <f>ROUND(E50*0.115,2)</f>
        <v>1495</v>
      </c>
      <c r="Q50" s="103">
        <f>SUM(N50:P50)+G50</f>
        <v>10246.07</v>
      </c>
      <c r="R50" s="186">
        <f>K50-Q50</f>
        <v>4920.5966666666664</v>
      </c>
      <c r="S50" s="170">
        <v>598.7128888401827</v>
      </c>
      <c r="T50" s="128">
        <f t="shared" ref="T50" si="34">ROUND(+E50*17.5%,2)+ROUND(E50*3%,2)</f>
        <v>2665</v>
      </c>
      <c r="U50" s="157">
        <f>ROUND(+E50*2%,2)</f>
        <v>260</v>
      </c>
      <c r="V50" s="129">
        <f t="shared" ref="V50" si="35">SUM(S50:U50)</f>
        <v>3523.7128888401826</v>
      </c>
      <c r="X50" s="169"/>
    </row>
    <row r="51" spans="2:24" ht="18.75" x14ac:dyDescent="0.3">
      <c r="B51" s="138" t="s">
        <v>20</v>
      </c>
      <c r="E51" s="134">
        <f>E50</f>
        <v>13000</v>
      </c>
      <c r="F51" s="134"/>
      <c r="G51" s="134">
        <f>+G50</f>
        <v>6080.29</v>
      </c>
      <c r="H51" s="134">
        <f t="shared" ref="H51:J51" si="36">H50</f>
        <v>2166.6666666666665</v>
      </c>
      <c r="I51" s="134">
        <f t="shared" si="36"/>
        <v>0</v>
      </c>
      <c r="J51" s="134">
        <f t="shared" si="36"/>
        <v>0</v>
      </c>
      <c r="K51" s="134">
        <f>K50</f>
        <v>15166.666666666666</v>
      </c>
      <c r="L51" s="134">
        <f t="shared" ref="L51:V51" si="37">L50</f>
        <v>0</v>
      </c>
      <c r="M51" s="134">
        <f t="shared" si="37"/>
        <v>2288.9699999999998</v>
      </c>
      <c r="N51" s="134">
        <f t="shared" si="37"/>
        <v>2670.87</v>
      </c>
      <c r="O51" s="134">
        <f t="shared" si="37"/>
        <v>-0.09</v>
      </c>
      <c r="P51" s="134">
        <f>P50</f>
        <v>1495</v>
      </c>
      <c r="Q51" s="134">
        <f t="shared" si="37"/>
        <v>10246.07</v>
      </c>
      <c r="R51" s="135">
        <f>R50</f>
        <v>4920.5966666666664</v>
      </c>
      <c r="S51" s="134">
        <f t="shared" si="37"/>
        <v>598.7128888401827</v>
      </c>
      <c r="T51" s="134">
        <f t="shared" si="37"/>
        <v>2665</v>
      </c>
      <c r="U51" s="134">
        <f>U50</f>
        <v>260</v>
      </c>
      <c r="V51" s="134">
        <f t="shared" si="37"/>
        <v>3523.7128888401826</v>
      </c>
      <c r="X51" s="169"/>
    </row>
    <row r="52" spans="2:24" ht="12" customHeight="1" x14ac:dyDescent="0.3">
      <c r="B52" s="138"/>
      <c r="E52" s="103"/>
      <c r="F52" s="103"/>
      <c r="G52" s="103"/>
      <c r="H52" s="103"/>
      <c r="I52" s="103"/>
      <c r="J52" s="103"/>
      <c r="K52" s="146"/>
      <c r="L52" s="146"/>
      <c r="M52" s="146"/>
      <c r="N52" s="146"/>
      <c r="O52" s="146"/>
      <c r="P52" s="146"/>
      <c r="Q52" s="146"/>
      <c r="R52" s="147"/>
      <c r="S52" s="148"/>
      <c r="T52" s="148"/>
      <c r="U52" s="148"/>
      <c r="V52" s="148"/>
    </row>
    <row r="53" spans="2:24" ht="18.75" hidden="1" x14ac:dyDescent="0.3">
      <c r="R53" s="149"/>
    </row>
    <row r="54" spans="2:24" ht="18.75" x14ac:dyDescent="0.3">
      <c r="C54" s="150" t="s">
        <v>56</v>
      </c>
      <c r="E54" s="151">
        <f>E9+E20+E27+E41+E47+E51</f>
        <v>219167.75999999998</v>
      </c>
      <c r="F54" s="151"/>
      <c r="G54" s="152">
        <f>G9+G20+G27+G41+G47+G51</f>
        <v>22722.29</v>
      </c>
      <c r="H54" s="151">
        <f t="shared" ref="H54:V54" si="38">H9+H20+H27+H41+H47+H51</f>
        <v>36528.001466666661</v>
      </c>
      <c r="I54" s="151">
        <f t="shared" si="38"/>
        <v>0</v>
      </c>
      <c r="J54" s="151">
        <f t="shared" si="38"/>
        <v>0</v>
      </c>
      <c r="K54" s="151">
        <f t="shared" si="38"/>
        <v>255695.76146666662</v>
      </c>
      <c r="L54" s="151">
        <f t="shared" si="38"/>
        <v>0</v>
      </c>
      <c r="M54" s="151">
        <f t="shared" si="38"/>
        <v>31517.59</v>
      </c>
      <c r="N54" s="151">
        <f t="shared" si="38"/>
        <v>36779.160000000003</v>
      </c>
      <c r="O54" s="151">
        <f>O9+O20+O27+O41+O47+O51</f>
        <v>0</v>
      </c>
      <c r="P54" s="152">
        <f>P9+P20+P27+P41+P47+P51</f>
        <v>25204.260000000002</v>
      </c>
      <c r="Q54" s="151">
        <f t="shared" si="38"/>
        <v>84705.709999999992</v>
      </c>
      <c r="R54" s="153">
        <f t="shared" si="38"/>
        <v>170990.05146666669</v>
      </c>
      <c r="S54" s="151">
        <f t="shared" si="38"/>
        <v>12932.76364118359</v>
      </c>
      <c r="T54" s="151">
        <f>T51+T47+T41+T27+T20+T9</f>
        <v>44929.312474999999</v>
      </c>
      <c r="U54" s="152">
        <f>U9+U20+U27+U41+U47+U51</f>
        <v>4383.45</v>
      </c>
      <c r="V54" s="154">
        <f t="shared" si="38"/>
        <v>62245.526116183602</v>
      </c>
    </row>
    <row r="55" spans="2:24" ht="18.75" x14ac:dyDescent="0.3">
      <c r="S55" s="151"/>
      <c r="T55" s="151"/>
    </row>
    <row r="56" spans="2:24" x14ac:dyDescent="0.25">
      <c r="T56" s="103"/>
      <c r="X56" s="169"/>
    </row>
    <row r="63" spans="2:24" ht="16.5" thickBot="1" x14ac:dyDescent="0.3">
      <c r="E63" s="293"/>
      <c r="F63" s="293"/>
      <c r="G63" s="183"/>
      <c r="H63" s="183"/>
      <c r="P63" s="294"/>
      <c r="Q63" s="294"/>
    </row>
    <row r="64" spans="2:24" ht="15" x14ac:dyDescent="0.25">
      <c r="E64" s="295" t="s">
        <v>91</v>
      </c>
      <c r="F64" s="295"/>
      <c r="G64" s="184"/>
      <c r="H64" s="184"/>
      <c r="P64" s="155"/>
      <c r="Q64" s="155"/>
      <c r="R64" s="296" t="s">
        <v>82</v>
      </c>
      <c r="S64" s="296"/>
      <c r="T64" s="183"/>
    </row>
    <row r="68" spans="3:3" x14ac:dyDescent="0.25">
      <c r="C68" s="102" t="s">
        <v>90</v>
      </c>
    </row>
  </sheetData>
  <mergeCells count="5">
    <mergeCell ref="B4:V4"/>
    <mergeCell ref="E63:F63"/>
    <mergeCell ref="P63:Q63"/>
    <mergeCell ref="E64:F64"/>
    <mergeCell ref="R64:S64"/>
  </mergeCells>
  <pageMargins left="0.51181102362204722" right="0.51181102362204722" top="0.15748031496062992" bottom="0.35433070866141736" header="0.31496062992125984" footer="0.31496062992125984"/>
  <pageSetup scale="4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2EF3D-C719-47C8-9B32-D587500FBECE}">
  <sheetPr>
    <pageSetUpPr fitToPage="1"/>
  </sheetPr>
  <dimension ref="B3:X68"/>
  <sheetViews>
    <sheetView topLeftCell="A2" zoomScale="87" zoomScaleNormal="87" workbookViewId="0">
      <selection activeCell="I16" sqref="I16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2.28515625" style="102" customWidth="1"/>
    <col min="8" max="8" width="14.140625" style="102" hidden="1" customWidth="1"/>
    <col min="9" max="9" width="13.28515625" style="102" customWidth="1"/>
    <col min="10" max="10" width="13.28515625" style="102" hidden="1" customWidth="1"/>
    <col min="11" max="11" width="13.28515625" style="102" customWidth="1"/>
    <col min="12" max="12" width="9.42578125" style="102" hidden="1" customWidth="1"/>
    <col min="13" max="13" width="14.42578125" style="102" hidden="1" customWidth="1"/>
    <col min="14" max="14" width="12.7109375" style="102" bestFit="1" customWidth="1"/>
    <col min="15" max="15" width="11.42578125" style="102" customWidth="1"/>
    <col min="16" max="16" width="12.85546875" style="102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4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4" ht="16.5" customHeight="1" x14ac:dyDescent="0.25">
      <c r="B4" s="291" t="s">
        <v>147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4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2" t="s">
        <v>148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4" x14ac:dyDescent="0.25">
      <c r="B6" s="121" t="s">
        <v>13</v>
      </c>
      <c r="C6" s="122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4" ht="21" x14ac:dyDescent="0.35">
      <c r="B7" s="102" t="s">
        <v>15</v>
      </c>
      <c r="C7" s="187" t="s">
        <v>16</v>
      </c>
      <c r="D7" s="102" t="s">
        <v>19</v>
      </c>
      <c r="E7" s="103">
        <v>19461.365000000002</v>
      </c>
      <c r="F7" s="126">
        <v>15</v>
      </c>
      <c r="G7" s="141"/>
      <c r="H7" s="103"/>
      <c r="I7" s="103"/>
      <c r="J7" s="103"/>
      <c r="K7" s="103">
        <f>E7-I7</f>
        <v>19461.365000000002</v>
      </c>
      <c r="L7" s="103">
        <v>0</v>
      </c>
      <c r="M7" s="103">
        <v>4023.06</v>
      </c>
      <c r="N7" s="103">
        <v>3721.35</v>
      </c>
      <c r="O7" s="103">
        <v>-0.04</v>
      </c>
      <c r="P7" s="156">
        <f>ROUND(E7*0.115,2)</f>
        <v>2238.06</v>
      </c>
      <c r="Q7" s="103">
        <f>SUM(N7:P7)+G7</f>
        <v>5959.37</v>
      </c>
      <c r="R7" s="190">
        <f>K7-Q7</f>
        <v>13501.995000000003</v>
      </c>
      <c r="S7" s="29">
        <v>845.30438505483096</v>
      </c>
      <c r="T7" s="128">
        <f>+E7*17.5%+E7*3%</f>
        <v>3989.5798249999998</v>
      </c>
      <c r="U7" s="157">
        <f>ROUND(+E7*2%,2)</f>
        <v>389.23</v>
      </c>
      <c r="V7" s="129">
        <f>SUM(S7:U7)</f>
        <v>5224.1142100548313</v>
      </c>
      <c r="X7" s="169"/>
    </row>
    <row r="8" spans="2:24" ht="21" x14ac:dyDescent="0.35">
      <c r="B8" s="102" t="s">
        <v>17</v>
      </c>
      <c r="C8" s="187" t="s">
        <v>18</v>
      </c>
      <c r="D8" s="102" t="s">
        <v>2</v>
      </c>
      <c r="E8" s="103">
        <v>6247.33</v>
      </c>
      <c r="F8" s="126">
        <v>15</v>
      </c>
      <c r="G8" s="178">
        <v>1000</v>
      </c>
      <c r="H8" s="103"/>
      <c r="I8" s="130"/>
      <c r="J8" s="103"/>
      <c r="K8" s="103">
        <f>E8-I8</f>
        <v>6247.33</v>
      </c>
      <c r="L8" s="103">
        <v>0</v>
      </c>
      <c r="M8" s="103">
        <v>787.17</v>
      </c>
      <c r="N8" s="103">
        <v>696.21</v>
      </c>
      <c r="O8" s="103">
        <v>0.08</v>
      </c>
      <c r="P8" s="156">
        <f>ROUND(E8*0.115,2)</f>
        <v>718.44</v>
      </c>
      <c r="Q8" s="103">
        <f>SUM(N8:P8)+G8</f>
        <v>2414.73</v>
      </c>
      <c r="R8" s="190">
        <f>K8-Q8</f>
        <v>3832.6</v>
      </c>
      <c r="S8" s="29">
        <v>386.35593979134245</v>
      </c>
      <c r="T8" s="128">
        <f>+E8*17.5%+E8*3%</f>
        <v>1280.7026499999997</v>
      </c>
      <c r="U8" s="157">
        <f>ROUND(+E8*2%,2)</f>
        <v>124.95</v>
      </c>
      <c r="V8" s="129">
        <f>SUM(S8:U8)</f>
        <v>1792.0085897913423</v>
      </c>
      <c r="X8" s="169"/>
    </row>
    <row r="9" spans="2:24" ht="18.75" x14ac:dyDescent="0.3">
      <c r="B9" s="131" t="s">
        <v>20</v>
      </c>
      <c r="C9" s="132"/>
      <c r="D9" s="133"/>
      <c r="E9" s="134">
        <f>SUM(E7:E8)</f>
        <v>25708.695</v>
      </c>
      <c r="F9" s="134"/>
      <c r="G9" s="134">
        <f>+G8+G7</f>
        <v>1000</v>
      </c>
      <c r="H9" s="134"/>
      <c r="I9" s="134">
        <f t="shared" ref="I9:V9" si="0">SUM(I7:I8)</f>
        <v>0</v>
      </c>
      <c r="J9" s="134">
        <f t="shared" si="0"/>
        <v>0</v>
      </c>
      <c r="K9" s="134">
        <f t="shared" si="0"/>
        <v>25708.695</v>
      </c>
      <c r="L9" s="134">
        <f t="shared" si="0"/>
        <v>0</v>
      </c>
      <c r="M9" s="134">
        <f>SUM(M7:M8)</f>
        <v>4810.2299999999996</v>
      </c>
      <c r="N9" s="134">
        <f t="shared" si="0"/>
        <v>4417.5599999999995</v>
      </c>
      <c r="O9" s="134">
        <f t="shared" si="0"/>
        <v>0.04</v>
      </c>
      <c r="P9" s="134">
        <f>SUM(P7:P8)</f>
        <v>2956.5</v>
      </c>
      <c r="Q9" s="134">
        <f t="shared" si="0"/>
        <v>8374.1</v>
      </c>
      <c r="R9" s="135">
        <f>SUM(R7:R8)</f>
        <v>17334.595000000001</v>
      </c>
      <c r="S9" s="134">
        <f t="shared" si="0"/>
        <v>1231.6603248461734</v>
      </c>
      <c r="T9" s="134">
        <f t="shared" si="0"/>
        <v>5270.282475</v>
      </c>
      <c r="U9" s="134">
        <f>SUM(U7:U8)</f>
        <v>514.18000000000006</v>
      </c>
      <c r="V9" s="134">
        <f t="shared" si="0"/>
        <v>7016.1227998461736</v>
      </c>
      <c r="X9" s="169"/>
    </row>
    <row r="10" spans="2:24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4" ht="18.75" x14ac:dyDescent="0.3">
      <c r="B11" s="138" t="s">
        <v>21</v>
      </c>
      <c r="C11" s="132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4" ht="21" x14ac:dyDescent="0.35">
      <c r="B12" s="102" t="s">
        <v>23</v>
      </c>
      <c r="C12" s="187" t="s">
        <v>28</v>
      </c>
      <c r="D12" s="102" t="s">
        <v>114</v>
      </c>
      <c r="E12" s="103">
        <v>13000</v>
      </c>
      <c r="F12" s="126">
        <v>15</v>
      </c>
      <c r="G12" s="178">
        <v>3394</v>
      </c>
      <c r="H12" s="103"/>
      <c r="I12" s="103"/>
      <c r="J12" s="103"/>
      <c r="K12" s="103">
        <f t="shared" ref="K12:K18" si="1">E12-I12</f>
        <v>13000</v>
      </c>
      <c r="L12" s="103">
        <v>0</v>
      </c>
      <c r="M12" s="103">
        <v>2288.9699999999998</v>
      </c>
      <c r="N12" s="103">
        <v>2161.23</v>
      </c>
      <c r="O12" s="103">
        <v>-0.03</v>
      </c>
      <c r="P12" s="156">
        <f t="shared" ref="P12:P19" si="2">ROUND(E12*0.115,2)</f>
        <v>1495</v>
      </c>
      <c r="Q12" s="103">
        <f t="shared" ref="Q12:Q19" si="3">SUM(N12:P12)+G12</f>
        <v>7050.2</v>
      </c>
      <c r="R12" s="190">
        <f t="shared" ref="R12:R19" si="4">K12-Q12</f>
        <v>5949.8</v>
      </c>
      <c r="S12" s="29">
        <v>582.57652736099362</v>
      </c>
      <c r="T12" s="128">
        <f>ROUND(+E12*17.5%,2)+ROUND(E12*3%,2)</f>
        <v>2665</v>
      </c>
      <c r="U12" s="157">
        <f t="shared" ref="U12:U19" si="5">ROUND(+E12*2%,2)</f>
        <v>260</v>
      </c>
      <c r="V12" s="129">
        <f t="shared" ref="V12:V19" si="6">SUM(S12:U12)</f>
        <v>3507.5765273609936</v>
      </c>
      <c r="X12" s="169"/>
    </row>
    <row r="13" spans="2:24" ht="21" x14ac:dyDescent="0.35">
      <c r="B13" s="102" t="s">
        <v>24</v>
      </c>
      <c r="C13" s="187" t="s">
        <v>29</v>
      </c>
      <c r="D13" s="102" t="s">
        <v>116</v>
      </c>
      <c r="E13" s="103">
        <v>7000.8</v>
      </c>
      <c r="F13" s="126">
        <v>15</v>
      </c>
      <c r="G13" s="178">
        <v>2129.5700000000002</v>
      </c>
      <c r="H13" s="103"/>
      <c r="I13" s="139"/>
      <c r="J13" s="140"/>
      <c r="K13" s="103">
        <f>E13-I13</f>
        <v>7000.8</v>
      </c>
      <c r="L13" s="103">
        <v>0</v>
      </c>
      <c r="M13" s="103">
        <v>948.11</v>
      </c>
      <c r="N13" s="103">
        <v>857.15</v>
      </c>
      <c r="O13" s="103">
        <v>-0.01</v>
      </c>
      <c r="P13" s="156">
        <f t="shared" si="2"/>
        <v>805.09</v>
      </c>
      <c r="Q13" s="103">
        <f t="shared" si="3"/>
        <v>3791.8</v>
      </c>
      <c r="R13" s="190">
        <f t="shared" si="4"/>
        <v>3209</v>
      </c>
      <c r="S13" s="29">
        <v>418.27782740120551</v>
      </c>
      <c r="T13" s="128">
        <f t="shared" ref="T13:T19" si="7">ROUND(+E13*17.5%,2)+ROUND(E13*3%,2)</f>
        <v>1435.16</v>
      </c>
      <c r="U13" s="157">
        <f t="shared" si="5"/>
        <v>140.02000000000001</v>
      </c>
      <c r="V13" s="129">
        <f t="shared" si="6"/>
        <v>1993.4578274012056</v>
      </c>
      <c r="X13" s="169"/>
    </row>
    <row r="14" spans="2:24" ht="21" x14ac:dyDescent="0.35">
      <c r="B14" s="102" t="s">
        <v>25</v>
      </c>
      <c r="C14" s="187" t="s">
        <v>92</v>
      </c>
      <c r="D14" s="102" t="s">
        <v>115</v>
      </c>
      <c r="E14" s="103">
        <v>7000.8</v>
      </c>
      <c r="F14" s="126">
        <v>15</v>
      </c>
      <c r="G14" s="178">
        <v>1330.99</v>
      </c>
      <c r="H14" s="141"/>
      <c r="I14" s="139"/>
      <c r="J14" s="140"/>
      <c r="K14" s="103">
        <f>E14-I14</f>
        <v>7000.8</v>
      </c>
      <c r="L14" s="103">
        <v>0</v>
      </c>
      <c r="M14" s="103">
        <v>948.11</v>
      </c>
      <c r="N14" s="103">
        <v>857.15</v>
      </c>
      <c r="O14" s="103">
        <v>-0.03</v>
      </c>
      <c r="P14" s="156">
        <f>ROUND(E14*0.115,2)</f>
        <v>805.09</v>
      </c>
      <c r="Q14" s="103">
        <f>SUM(N14:P14)+G14</f>
        <v>2993.2</v>
      </c>
      <c r="R14" s="190">
        <f>K14-Q14</f>
        <v>4007.6000000000004</v>
      </c>
      <c r="S14" s="29">
        <v>418.27782740120551</v>
      </c>
      <c r="T14" s="128">
        <f t="shared" si="7"/>
        <v>1435.16</v>
      </c>
      <c r="U14" s="157">
        <f t="shared" si="5"/>
        <v>140.02000000000001</v>
      </c>
      <c r="V14" s="129">
        <f t="shared" si="6"/>
        <v>1993.4578274012056</v>
      </c>
      <c r="X14" s="169"/>
    </row>
    <row r="15" spans="2:24" ht="21" x14ac:dyDescent="0.35">
      <c r="B15" s="102" t="s">
        <v>26</v>
      </c>
      <c r="C15" s="187" t="s">
        <v>58</v>
      </c>
      <c r="D15" s="102" t="s">
        <v>37</v>
      </c>
      <c r="E15" s="103">
        <v>7443.8</v>
      </c>
      <c r="F15" s="126">
        <v>15</v>
      </c>
      <c r="G15" s="103"/>
      <c r="H15" s="103"/>
      <c r="I15" s="139"/>
      <c r="J15" s="103"/>
      <c r="K15" s="103">
        <f t="shared" si="1"/>
        <v>7443.8</v>
      </c>
      <c r="L15" s="103">
        <v>0</v>
      </c>
      <c r="M15" s="103">
        <v>1042.73</v>
      </c>
      <c r="N15" s="103">
        <v>951.78</v>
      </c>
      <c r="O15" s="103">
        <v>-0.02</v>
      </c>
      <c r="P15" s="156">
        <f t="shared" si="2"/>
        <v>856.04</v>
      </c>
      <c r="Q15" s="103">
        <f t="shared" si="3"/>
        <v>1807.8</v>
      </c>
      <c r="R15" s="190">
        <f t="shared" si="4"/>
        <v>5636</v>
      </c>
      <c r="S15" s="29">
        <v>429.92437195251148</v>
      </c>
      <c r="T15" s="128">
        <f t="shared" si="7"/>
        <v>1525.98</v>
      </c>
      <c r="U15" s="157">
        <f t="shared" si="5"/>
        <v>148.88</v>
      </c>
      <c r="V15" s="129">
        <f t="shared" si="6"/>
        <v>2104.7843719525117</v>
      </c>
      <c r="X15" s="169"/>
    </row>
    <row r="16" spans="2:24" ht="21" x14ac:dyDescent="0.35">
      <c r="B16" s="102" t="s">
        <v>27</v>
      </c>
      <c r="C16" s="187" t="s">
        <v>40</v>
      </c>
      <c r="D16" s="102" t="s">
        <v>117</v>
      </c>
      <c r="E16" s="103">
        <v>4918.3649999999998</v>
      </c>
      <c r="F16" s="126">
        <v>15</v>
      </c>
      <c r="G16" s="178">
        <v>2050</v>
      </c>
      <c r="H16" s="103"/>
      <c r="I16" s="139">
        <v>655.78</v>
      </c>
      <c r="J16" s="103"/>
      <c r="K16" s="103">
        <f>E16-I16</f>
        <v>4262.585</v>
      </c>
      <c r="L16" s="103">
        <v>0</v>
      </c>
      <c r="M16" s="103">
        <v>508.91</v>
      </c>
      <c r="N16" s="103">
        <v>447.61</v>
      </c>
      <c r="O16" s="103">
        <v>-0.03</v>
      </c>
      <c r="P16" s="156">
        <f>ROUND(E16*0.115,2)</f>
        <v>565.61</v>
      </c>
      <c r="Q16" s="103">
        <f>SUM(N16:P16)+G16</f>
        <v>3063.19</v>
      </c>
      <c r="R16" s="190">
        <f t="shared" si="4"/>
        <v>1199.395</v>
      </c>
      <c r="S16" s="29">
        <v>374.41630613742467</v>
      </c>
      <c r="T16" s="128">
        <f t="shared" si="7"/>
        <v>1008.26</v>
      </c>
      <c r="U16" s="157">
        <f t="shared" si="5"/>
        <v>98.37</v>
      </c>
      <c r="V16" s="129">
        <f t="shared" si="6"/>
        <v>1481.0463061374248</v>
      </c>
      <c r="X16" s="169"/>
    </row>
    <row r="17" spans="2:24" ht="21" x14ac:dyDescent="0.35">
      <c r="B17" s="102" t="s">
        <v>60</v>
      </c>
      <c r="C17" s="187" t="s">
        <v>41</v>
      </c>
      <c r="D17" s="102" t="s">
        <v>118</v>
      </c>
      <c r="E17" s="103">
        <v>4918.3649999999998</v>
      </c>
      <c r="F17" s="126">
        <v>15</v>
      </c>
      <c r="G17" s="178">
        <v>1676.62</v>
      </c>
      <c r="H17" s="103"/>
      <c r="I17" s="139"/>
      <c r="J17" s="103"/>
      <c r="K17" s="103">
        <f>E17-I17</f>
        <v>4918.3649999999998</v>
      </c>
      <c r="L17" s="103">
        <v>0</v>
      </c>
      <c r="M17" s="103">
        <v>508.91</v>
      </c>
      <c r="N17" s="103">
        <v>447.61</v>
      </c>
      <c r="O17" s="103">
        <v>0.13</v>
      </c>
      <c r="P17" s="156">
        <f t="shared" si="2"/>
        <v>565.61</v>
      </c>
      <c r="Q17" s="103">
        <f>SUM(N17:P17)+G17</f>
        <v>2689.97</v>
      </c>
      <c r="R17" s="190">
        <f>K17-Q17</f>
        <v>2228.395</v>
      </c>
      <c r="S17" s="29">
        <v>374.41630613742467</v>
      </c>
      <c r="T17" s="128">
        <f t="shared" si="7"/>
        <v>1008.26</v>
      </c>
      <c r="U17" s="157">
        <f t="shared" si="5"/>
        <v>98.37</v>
      </c>
      <c r="V17" s="129">
        <f t="shared" si="6"/>
        <v>1481.0463061374248</v>
      </c>
      <c r="X17" s="169"/>
    </row>
    <row r="18" spans="2:24" ht="21" x14ac:dyDescent="0.35">
      <c r="B18" s="102" t="s">
        <v>61</v>
      </c>
      <c r="C18" s="187" t="s">
        <v>43</v>
      </c>
      <c r="D18" s="102" t="s">
        <v>3</v>
      </c>
      <c r="E18" s="103">
        <v>4358.17</v>
      </c>
      <c r="F18" s="126">
        <v>15</v>
      </c>
      <c r="G18" s="178">
        <v>969</v>
      </c>
      <c r="H18" s="103"/>
      <c r="I18" s="103"/>
      <c r="J18" s="103"/>
      <c r="K18" s="103">
        <f t="shared" si="1"/>
        <v>4358.17</v>
      </c>
      <c r="L18" s="103"/>
      <c r="M18" s="103">
        <v>408.52</v>
      </c>
      <c r="N18" s="103">
        <v>357.97</v>
      </c>
      <c r="O18" s="103">
        <v>0.01</v>
      </c>
      <c r="P18" s="156">
        <f t="shared" si="2"/>
        <v>501.19</v>
      </c>
      <c r="Q18" s="103">
        <f t="shared" si="3"/>
        <v>1828.17</v>
      </c>
      <c r="R18" s="190">
        <f t="shared" si="4"/>
        <v>2530</v>
      </c>
      <c r="S18" s="29">
        <v>319.01946795791781</v>
      </c>
      <c r="T18" s="128">
        <f t="shared" si="7"/>
        <v>893.43</v>
      </c>
      <c r="U18" s="157">
        <f t="shared" si="5"/>
        <v>87.16</v>
      </c>
      <c r="V18" s="129">
        <f t="shared" si="6"/>
        <v>1299.6094679579178</v>
      </c>
      <c r="X18" s="169"/>
    </row>
    <row r="19" spans="2:24" ht="21" x14ac:dyDescent="0.35">
      <c r="B19" s="102" t="s">
        <v>62</v>
      </c>
      <c r="C19" s="187" t="s">
        <v>42</v>
      </c>
      <c r="D19" s="102" t="s">
        <v>119</v>
      </c>
      <c r="E19" s="103">
        <v>4918.3649999999998</v>
      </c>
      <c r="F19" s="126">
        <v>15</v>
      </c>
      <c r="G19" s="178">
        <v>1213.4000000000001</v>
      </c>
      <c r="H19" s="130"/>
      <c r="I19" s="139"/>
      <c r="J19" s="103"/>
      <c r="K19" s="103">
        <f>E19-I19+H19</f>
        <v>4918.3649999999998</v>
      </c>
      <c r="L19" s="103"/>
      <c r="M19" s="103">
        <v>508.91</v>
      </c>
      <c r="N19" s="103">
        <v>447.61</v>
      </c>
      <c r="O19" s="103">
        <v>0.15</v>
      </c>
      <c r="P19" s="156">
        <f t="shared" si="2"/>
        <v>565.61</v>
      </c>
      <c r="Q19" s="103">
        <f t="shared" si="3"/>
        <v>2226.77</v>
      </c>
      <c r="R19" s="190">
        <f t="shared" si="4"/>
        <v>2691.5949999999998</v>
      </c>
      <c r="S19" s="29">
        <v>374.41630613742467</v>
      </c>
      <c r="T19" s="128">
        <f t="shared" si="7"/>
        <v>1008.26</v>
      </c>
      <c r="U19" s="157">
        <f t="shared" si="5"/>
        <v>98.37</v>
      </c>
      <c r="V19" s="129">
        <f t="shared" si="6"/>
        <v>1481.0463061374248</v>
      </c>
      <c r="X19" s="169"/>
    </row>
    <row r="20" spans="2:24" ht="18.75" x14ac:dyDescent="0.3">
      <c r="B20" s="138" t="s">
        <v>20</v>
      </c>
      <c r="C20" s="132"/>
      <c r="D20" s="133"/>
      <c r="E20" s="134">
        <f>SUM(E12:E19)</f>
        <v>53558.664999999994</v>
      </c>
      <c r="F20" s="134"/>
      <c r="G20" s="134">
        <f>+G19+G18+G17+G16+G12+G13+G14</f>
        <v>12763.58</v>
      </c>
      <c r="H20" s="134"/>
      <c r="I20" s="134">
        <f t="shared" ref="I20:V20" si="8">SUM(I12:I19)</f>
        <v>655.78</v>
      </c>
      <c r="J20" s="134">
        <f t="shared" si="8"/>
        <v>0</v>
      </c>
      <c r="K20" s="134">
        <f t="shared" si="8"/>
        <v>52902.884999999995</v>
      </c>
      <c r="L20" s="134">
        <f t="shared" ref="L20" si="9">SUM(L12:L19)</f>
        <v>0</v>
      </c>
      <c r="M20" s="134">
        <f>SUM(M12:M19)</f>
        <v>7163.17</v>
      </c>
      <c r="N20" s="134">
        <f t="shared" si="8"/>
        <v>6528.11</v>
      </c>
      <c r="O20" s="134">
        <f t="shared" si="8"/>
        <v>0.16999999999999998</v>
      </c>
      <c r="P20" s="134">
        <f>SUM(P12:P19)</f>
        <v>6159.2399999999989</v>
      </c>
      <c r="Q20" s="134">
        <f t="shared" si="8"/>
        <v>25451.100000000002</v>
      </c>
      <c r="R20" s="135">
        <f>SUM(R12:R19)</f>
        <v>27451.785000000003</v>
      </c>
      <c r="S20" s="134">
        <f t="shared" si="8"/>
        <v>3291.3249404861081</v>
      </c>
      <c r="T20" s="134">
        <f t="shared" si="8"/>
        <v>10979.51</v>
      </c>
      <c r="U20" s="134">
        <f>SUM(U12:U19)</f>
        <v>1071.19</v>
      </c>
      <c r="V20" s="134">
        <f t="shared" si="8"/>
        <v>15342.02494048611</v>
      </c>
      <c r="X20" s="169"/>
    </row>
    <row r="21" spans="2:24" ht="18.75" hidden="1" x14ac:dyDescent="0.3">
      <c r="B21" s="138"/>
      <c r="C21" s="136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37"/>
      <c r="X21" s="169"/>
    </row>
    <row r="22" spans="2:24" ht="18.75" x14ac:dyDescent="0.3">
      <c r="B22" s="138" t="s">
        <v>31</v>
      </c>
      <c r="C22" s="132" t="s">
        <v>83</v>
      </c>
      <c r="E22" s="103"/>
      <c r="F22" s="103"/>
      <c r="G22" s="103"/>
      <c r="H22" s="103"/>
      <c r="I22" s="103"/>
      <c r="J22" s="103"/>
      <c r="K22" s="142"/>
      <c r="L22" s="142"/>
      <c r="M22" s="103"/>
      <c r="N22" s="103"/>
      <c r="O22" s="103"/>
      <c r="P22" s="103"/>
      <c r="Q22" s="103"/>
      <c r="R22" s="137"/>
      <c r="X22" s="169"/>
    </row>
    <row r="23" spans="2:24" ht="21" x14ac:dyDescent="0.35">
      <c r="B23" s="102" t="s">
        <v>63</v>
      </c>
      <c r="C23" s="187" t="s">
        <v>110</v>
      </c>
      <c r="D23" s="158" t="s">
        <v>132</v>
      </c>
      <c r="E23" s="103">
        <v>7000.8</v>
      </c>
      <c r="F23" s="126">
        <v>15</v>
      </c>
      <c r="G23" s="103"/>
      <c r="H23" s="103"/>
      <c r="I23" s="103"/>
      <c r="J23" s="103"/>
      <c r="K23" s="103">
        <f>E23-I23</f>
        <v>7000.8</v>
      </c>
      <c r="L23" s="103">
        <v>0</v>
      </c>
      <c r="M23" s="103">
        <v>948.11</v>
      </c>
      <c r="N23" s="103">
        <v>857.15</v>
      </c>
      <c r="O23" s="103">
        <v>-0.04</v>
      </c>
      <c r="P23" s="156">
        <f>ROUND(E23*0.115,2)</f>
        <v>805.09</v>
      </c>
      <c r="Q23" s="103">
        <f t="shared" ref="Q23:Q24" si="10">SUM(N23:P23)+G23</f>
        <v>1662.2</v>
      </c>
      <c r="R23" s="190">
        <f>K23-Q23</f>
        <v>5338.6</v>
      </c>
      <c r="S23" s="170">
        <v>418.27782740120551</v>
      </c>
      <c r="T23" s="128">
        <f t="shared" ref="T23:T26" si="11">ROUND(+E23*17.5%,2)+ROUND(E23*3%,2)</f>
        <v>1435.16</v>
      </c>
      <c r="U23" s="157">
        <f t="shared" ref="U23:U26" si="12">ROUND(+E23*2%,2)</f>
        <v>140.02000000000001</v>
      </c>
      <c r="V23" s="129">
        <f t="shared" ref="V23:V24" si="13">SUM(S23:U23)</f>
        <v>1993.4578274012056</v>
      </c>
      <c r="X23" s="169"/>
    </row>
    <row r="24" spans="2:24" ht="21" x14ac:dyDescent="0.35">
      <c r="B24" s="102" t="s">
        <v>112</v>
      </c>
      <c r="C24" s="187" t="s">
        <v>113</v>
      </c>
      <c r="D24" s="158" t="s">
        <v>133</v>
      </c>
      <c r="E24" s="103">
        <v>7000.8</v>
      </c>
      <c r="F24" s="126">
        <v>15</v>
      </c>
      <c r="G24" s="103"/>
      <c r="H24" s="103"/>
      <c r="I24" s="103"/>
      <c r="J24" s="103"/>
      <c r="K24" s="103">
        <f>E24-I24</f>
        <v>7000.8</v>
      </c>
      <c r="L24" s="103">
        <v>0</v>
      </c>
      <c r="M24" s="103">
        <v>948.11</v>
      </c>
      <c r="N24" s="103">
        <v>857.15</v>
      </c>
      <c r="O24" s="103">
        <v>-0.04</v>
      </c>
      <c r="P24" s="156">
        <f>ROUND(E24*0.115,2)</f>
        <v>805.09</v>
      </c>
      <c r="Q24" s="103">
        <f t="shared" si="10"/>
        <v>1662.2</v>
      </c>
      <c r="R24" s="190">
        <f>K24-Q24</f>
        <v>5338.6</v>
      </c>
      <c r="S24" s="170">
        <v>418.27782740120551</v>
      </c>
      <c r="T24" s="128">
        <f t="shared" si="11"/>
        <v>1435.16</v>
      </c>
      <c r="U24" s="157">
        <f t="shared" si="12"/>
        <v>140.02000000000001</v>
      </c>
      <c r="V24" s="129">
        <f t="shared" si="13"/>
        <v>1993.4578274012056</v>
      </c>
      <c r="X24" s="169"/>
    </row>
    <row r="25" spans="2:24" ht="21" x14ac:dyDescent="0.35">
      <c r="B25" s="102" t="s">
        <v>64</v>
      </c>
      <c r="C25" s="187" t="s">
        <v>45</v>
      </c>
      <c r="D25" s="102" t="s">
        <v>122</v>
      </c>
      <c r="E25" s="103">
        <v>7000.8</v>
      </c>
      <c r="F25" s="126">
        <v>15</v>
      </c>
      <c r="G25" s="141"/>
      <c r="H25" s="103"/>
      <c r="I25" s="143"/>
      <c r="J25" s="103"/>
      <c r="K25" s="103">
        <f>E25-I25</f>
        <v>7000.8</v>
      </c>
      <c r="L25" s="103">
        <v>0</v>
      </c>
      <c r="M25" s="103">
        <v>948.11</v>
      </c>
      <c r="N25" s="103">
        <v>857.15</v>
      </c>
      <c r="O25" s="103">
        <v>-0.04</v>
      </c>
      <c r="P25" s="156">
        <f>ROUND(E25*0.115,2)</f>
        <v>805.09</v>
      </c>
      <c r="Q25" s="103">
        <f>SUM(N25:P25)+G25</f>
        <v>1662.2</v>
      </c>
      <c r="R25" s="190">
        <f>K25-Q25</f>
        <v>5338.6</v>
      </c>
      <c r="S25" s="170">
        <v>418.27782740120551</v>
      </c>
      <c r="T25" s="128">
        <f t="shared" si="11"/>
        <v>1435.16</v>
      </c>
      <c r="U25" s="157">
        <f t="shared" si="12"/>
        <v>140.02000000000001</v>
      </c>
      <c r="V25" s="129">
        <f>SUM(S25:U25)</f>
        <v>1993.4578274012056</v>
      </c>
      <c r="X25" s="169"/>
    </row>
    <row r="26" spans="2:24" ht="21" x14ac:dyDescent="0.35">
      <c r="B26" s="102" t="s">
        <v>65</v>
      </c>
      <c r="C26" s="187" t="s">
        <v>59</v>
      </c>
      <c r="D26" s="158" t="s">
        <v>134</v>
      </c>
      <c r="E26" s="103">
        <v>7000.8</v>
      </c>
      <c r="F26" s="126">
        <v>15</v>
      </c>
      <c r="G26" s="178">
        <v>1189</v>
      </c>
      <c r="H26" s="130"/>
      <c r="I26" s="130"/>
      <c r="J26" s="103"/>
      <c r="K26" s="103">
        <f>E26-I26+H26</f>
        <v>7000.8</v>
      </c>
      <c r="L26" s="103">
        <v>0</v>
      </c>
      <c r="M26" s="103">
        <v>948.11</v>
      </c>
      <c r="N26" s="103">
        <v>857.15</v>
      </c>
      <c r="O26" s="103">
        <v>-0.04</v>
      </c>
      <c r="P26" s="156">
        <f>ROUND(E26*0.115,2)</f>
        <v>805.09</v>
      </c>
      <c r="Q26" s="103">
        <f>SUM(N26:P26)+G26</f>
        <v>2851.2</v>
      </c>
      <c r="R26" s="190">
        <f>K26-Q26</f>
        <v>4149.6000000000004</v>
      </c>
      <c r="S26" s="170">
        <v>418.27782740120551</v>
      </c>
      <c r="T26" s="128">
        <f t="shared" si="11"/>
        <v>1435.16</v>
      </c>
      <c r="U26" s="157">
        <f t="shared" si="12"/>
        <v>140.02000000000001</v>
      </c>
      <c r="V26" s="129">
        <f>SUM(S26:U26)</f>
        <v>1993.4578274012056</v>
      </c>
      <c r="X26" s="169"/>
    </row>
    <row r="27" spans="2:24" ht="18.75" x14ac:dyDescent="0.3">
      <c r="B27" s="138" t="s">
        <v>20</v>
      </c>
      <c r="C27" s="132"/>
      <c r="D27" s="133"/>
      <c r="E27" s="134">
        <f>SUM(E23:E26)</f>
        <v>28003.200000000001</v>
      </c>
      <c r="F27" s="134"/>
      <c r="G27" s="134">
        <f>+G26+G25+G23+G24</f>
        <v>1189</v>
      </c>
      <c r="H27" s="134"/>
      <c r="I27" s="134">
        <f t="shared" ref="I27:N27" si="14">SUM(I23:I26)</f>
        <v>0</v>
      </c>
      <c r="J27" s="134">
        <f t="shared" si="14"/>
        <v>0</v>
      </c>
      <c r="K27" s="134">
        <f t="shared" si="14"/>
        <v>28003.200000000001</v>
      </c>
      <c r="L27" s="134">
        <f t="shared" ref="L27" si="15">SUM(L23:L26)</f>
        <v>0</v>
      </c>
      <c r="M27" s="134">
        <f>SUM(M23:M26)</f>
        <v>3792.44</v>
      </c>
      <c r="N27" s="134">
        <f t="shared" si="14"/>
        <v>3428.6</v>
      </c>
      <c r="O27" s="134">
        <f t="shared" ref="O27:Q27" si="16">SUM(O23:O26)</f>
        <v>-0.16</v>
      </c>
      <c r="P27" s="134">
        <f>SUM(P23:P26)</f>
        <v>3220.36</v>
      </c>
      <c r="Q27" s="134">
        <f t="shared" si="16"/>
        <v>7837.8</v>
      </c>
      <c r="R27" s="135">
        <f>SUM(R23:R26)</f>
        <v>20165.400000000001</v>
      </c>
      <c r="S27" s="134">
        <f>SUM(S23:S26)</f>
        <v>1673.1113096048221</v>
      </c>
      <c r="T27" s="134">
        <f>SUM(T23:T26)</f>
        <v>5740.64</v>
      </c>
      <c r="U27" s="134">
        <f>SUM(U23:U26)</f>
        <v>560.08000000000004</v>
      </c>
      <c r="V27" s="134">
        <f>SUM(V23:V26)</f>
        <v>7973.8313096048223</v>
      </c>
      <c r="X27" s="169"/>
    </row>
    <row r="28" spans="2:24" ht="18.75" hidden="1" x14ac:dyDescent="0.3">
      <c r="C28" s="136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37"/>
      <c r="X28" s="169"/>
    </row>
    <row r="29" spans="2:24" ht="18.75" x14ac:dyDescent="0.3">
      <c r="B29" s="138" t="s">
        <v>33</v>
      </c>
      <c r="C29" s="132" t="s">
        <v>32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37"/>
      <c r="X29" s="169"/>
    </row>
    <row r="30" spans="2:24" ht="21" x14ac:dyDescent="0.35">
      <c r="B30" s="102" t="s">
        <v>66</v>
      </c>
      <c r="C30" s="187" t="s">
        <v>49</v>
      </c>
      <c r="D30" s="158" t="s">
        <v>128</v>
      </c>
      <c r="E30" s="103">
        <v>7000.8</v>
      </c>
      <c r="F30" s="126">
        <v>15</v>
      </c>
      <c r="G30" s="103"/>
      <c r="H30" s="103"/>
      <c r="I30" s="144"/>
      <c r="J30" s="103"/>
      <c r="K30" s="103">
        <f t="shared" ref="K30:K37" si="17">E30-I30</f>
        <v>7000.8</v>
      </c>
      <c r="L30" s="103">
        <v>0</v>
      </c>
      <c r="M30" s="103">
        <v>948.11</v>
      </c>
      <c r="N30" s="103">
        <v>857.15</v>
      </c>
      <c r="O30" s="103">
        <v>-0.04</v>
      </c>
      <c r="P30" s="156">
        <f>ROUND(E30*0.115,2)</f>
        <v>805.09</v>
      </c>
      <c r="Q30" s="103">
        <f t="shared" ref="Q30:Q40" si="18">SUM(N30:P30)+G30</f>
        <v>1662.2</v>
      </c>
      <c r="R30" s="190">
        <f t="shared" ref="R30:R38" si="19">K30-Q30</f>
        <v>5338.6</v>
      </c>
      <c r="S30" s="170">
        <v>418.27782740120551</v>
      </c>
      <c r="T30" s="128">
        <f t="shared" ref="T30:T40" si="20">ROUND(+E30*17.5%,2)+ROUND(E30*3%,2)</f>
        <v>1435.16</v>
      </c>
      <c r="U30" s="157">
        <f t="shared" ref="U30:U40" si="21">ROUND(+E30*2%,2)</f>
        <v>140.02000000000001</v>
      </c>
      <c r="V30" s="129">
        <f>SUM(S30:U30)</f>
        <v>1993.4578274012056</v>
      </c>
      <c r="X30" s="169"/>
    </row>
    <row r="31" spans="2:24" ht="21" x14ac:dyDescent="0.35">
      <c r="B31" s="102" t="s">
        <v>67</v>
      </c>
      <c r="C31" s="187" t="s">
        <v>51</v>
      </c>
      <c r="D31" s="158" t="s">
        <v>135</v>
      </c>
      <c r="E31" s="103">
        <v>7000.8</v>
      </c>
      <c r="F31" s="126">
        <v>15</v>
      </c>
      <c r="G31" s="141"/>
      <c r="H31" s="103"/>
      <c r="I31" s="130"/>
      <c r="J31" s="141"/>
      <c r="K31" s="141">
        <f t="shared" si="17"/>
        <v>7000.8</v>
      </c>
      <c r="L31" s="141">
        <v>0</v>
      </c>
      <c r="M31" s="103">
        <v>948.11</v>
      </c>
      <c r="N31" s="103">
        <v>857.15</v>
      </c>
      <c r="O31" s="103">
        <v>-0.04</v>
      </c>
      <c r="P31" s="156">
        <f t="shared" ref="P31:P40" si="22">ROUND(E31*0.115,2)</f>
        <v>805.09</v>
      </c>
      <c r="Q31" s="103">
        <f>SUM(N31:P31)+G31</f>
        <v>1662.2</v>
      </c>
      <c r="R31" s="190">
        <f t="shared" si="19"/>
        <v>5338.6</v>
      </c>
      <c r="S31" s="170">
        <v>418.27782740120551</v>
      </c>
      <c r="T31" s="128">
        <f t="shared" si="20"/>
        <v>1435.16</v>
      </c>
      <c r="U31" s="157">
        <f t="shared" si="21"/>
        <v>140.02000000000001</v>
      </c>
      <c r="V31" s="129">
        <f>SUM(S31:U31)</f>
        <v>1993.4578274012056</v>
      </c>
      <c r="X31" s="169"/>
    </row>
    <row r="32" spans="2:24" ht="21" x14ac:dyDescent="0.35">
      <c r="B32" s="102" t="s">
        <v>68</v>
      </c>
      <c r="C32" s="187" t="s">
        <v>48</v>
      </c>
      <c r="D32" s="102" t="s">
        <v>123</v>
      </c>
      <c r="E32" s="103">
        <v>7443.8</v>
      </c>
      <c r="F32" s="126">
        <v>15</v>
      </c>
      <c r="G32" s="103"/>
      <c r="H32" s="103"/>
      <c r="I32" s="130"/>
      <c r="J32" s="103"/>
      <c r="K32" s="103">
        <f t="shared" si="17"/>
        <v>7443.8</v>
      </c>
      <c r="L32" s="103">
        <v>0</v>
      </c>
      <c r="M32" s="103">
        <v>1042.73</v>
      </c>
      <c r="N32" s="103">
        <v>951.78</v>
      </c>
      <c r="O32" s="103">
        <v>-0.02</v>
      </c>
      <c r="P32" s="156">
        <f t="shared" si="22"/>
        <v>856.04</v>
      </c>
      <c r="Q32" s="103">
        <f t="shared" si="18"/>
        <v>1807.8</v>
      </c>
      <c r="R32" s="190">
        <f t="shared" si="19"/>
        <v>5636</v>
      </c>
      <c r="S32" s="170">
        <v>429.92437195251148</v>
      </c>
      <c r="T32" s="128">
        <f t="shared" si="20"/>
        <v>1525.98</v>
      </c>
      <c r="U32" s="157">
        <f>ROUND(+E32*2%,2)</f>
        <v>148.88</v>
      </c>
      <c r="V32" s="129">
        <f t="shared" ref="V32:V40" si="23">SUM(S32:U32)</f>
        <v>2104.7843719525117</v>
      </c>
      <c r="X32" s="169"/>
    </row>
    <row r="33" spans="2:24" ht="21" x14ac:dyDescent="0.35">
      <c r="B33" s="102" t="s">
        <v>77</v>
      </c>
      <c r="C33" s="187" t="s">
        <v>111</v>
      </c>
      <c r="D33" s="102" t="s">
        <v>127</v>
      </c>
      <c r="E33" s="103">
        <v>7000.8</v>
      </c>
      <c r="F33" s="126">
        <v>15</v>
      </c>
      <c r="G33" s="178">
        <v>1167</v>
      </c>
      <c r="H33" s="103"/>
      <c r="I33" s="144"/>
      <c r="J33" s="103"/>
      <c r="K33" s="103">
        <f>E33-I33</f>
        <v>7000.8</v>
      </c>
      <c r="L33" s="103">
        <v>0</v>
      </c>
      <c r="M33" s="103">
        <v>948.11</v>
      </c>
      <c r="N33" s="103">
        <v>857.15</v>
      </c>
      <c r="O33" s="103">
        <v>-0.04</v>
      </c>
      <c r="P33" s="156">
        <f t="shared" si="22"/>
        <v>805.09</v>
      </c>
      <c r="Q33" s="103">
        <f>SUM(N33:P33)+G33</f>
        <v>2829.2</v>
      </c>
      <c r="R33" s="190">
        <f>K33-Q33</f>
        <v>4171.6000000000004</v>
      </c>
      <c r="S33" s="170">
        <v>418.27782740120551</v>
      </c>
      <c r="T33" s="128">
        <f t="shared" si="20"/>
        <v>1435.16</v>
      </c>
      <c r="U33" s="157">
        <f t="shared" si="21"/>
        <v>140.02000000000001</v>
      </c>
      <c r="V33" s="129">
        <f t="shared" si="23"/>
        <v>1993.4578274012056</v>
      </c>
      <c r="X33" s="169"/>
    </row>
    <row r="34" spans="2:24" ht="21" x14ac:dyDescent="0.35">
      <c r="B34" s="102" t="s">
        <v>70</v>
      </c>
      <c r="C34" s="187" t="s">
        <v>46</v>
      </c>
      <c r="D34" s="102" t="s">
        <v>124</v>
      </c>
      <c r="E34" s="103">
        <v>7000.8</v>
      </c>
      <c r="F34" s="126">
        <v>15</v>
      </c>
      <c r="G34" s="178">
        <v>572.98</v>
      </c>
      <c r="H34" s="103"/>
      <c r="I34" s="139"/>
      <c r="J34" s="141"/>
      <c r="K34" s="141">
        <f t="shared" si="17"/>
        <v>7000.8</v>
      </c>
      <c r="L34" s="141">
        <v>0</v>
      </c>
      <c r="M34" s="103">
        <v>948.11</v>
      </c>
      <c r="N34" s="103">
        <v>857.15</v>
      </c>
      <c r="O34" s="103">
        <v>-0.02</v>
      </c>
      <c r="P34" s="156">
        <f t="shared" si="22"/>
        <v>805.09</v>
      </c>
      <c r="Q34" s="103">
        <f t="shared" si="18"/>
        <v>2235.1999999999998</v>
      </c>
      <c r="R34" s="190">
        <f t="shared" si="19"/>
        <v>4765.6000000000004</v>
      </c>
      <c r="S34" s="170">
        <v>418.27782740120551</v>
      </c>
      <c r="T34" s="128">
        <f t="shared" si="20"/>
        <v>1435.16</v>
      </c>
      <c r="U34" s="157">
        <f t="shared" si="21"/>
        <v>140.02000000000001</v>
      </c>
      <c r="V34" s="129">
        <f t="shared" si="23"/>
        <v>1993.4578274012056</v>
      </c>
      <c r="X34" s="169"/>
    </row>
    <row r="35" spans="2:24" ht="21" x14ac:dyDescent="0.35">
      <c r="B35" s="102" t="s">
        <v>71</v>
      </c>
      <c r="C35" s="187" t="s">
        <v>50</v>
      </c>
      <c r="D35" s="102" t="s">
        <v>124</v>
      </c>
      <c r="E35" s="103">
        <v>7000.8</v>
      </c>
      <c r="F35" s="126">
        <v>15</v>
      </c>
      <c r="G35" s="103"/>
      <c r="H35" s="141"/>
      <c r="I35" s="130"/>
      <c r="J35" s="141"/>
      <c r="K35" s="141">
        <f t="shared" si="17"/>
        <v>7000.8</v>
      </c>
      <c r="L35" s="141">
        <v>0</v>
      </c>
      <c r="M35" s="103">
        <v>948.11</v>
      </c>
      <c r="N35" s="103">
        <v>857.15</v>
      </c>
      <c r="O35" s="103">
        <v>0.16</v>
      </c>
      <c r="P35" s="156">
        <f t="shared" si="22"/>
        <v>805.09</v>
      </c>
      <c r="Q35" s="103">
        <f t="shared" si="18"/>
        <v>1662.4</v>
      </c>
      <c r="R35" s="190">
        <f t="shared" si="19"/>
        <v>5338.4</v>
      </c>
      <c r="S35" s="170">
        <v>418.27782740120551</v>
      </c>
      <c r="T35" s="128">
        <f t="shared" si="20"/>
        <v>1435.16</v>
      </c>
      <c r="U35" s="157">
        <f t="shared" si="21"/>
        <v>140.02000000000001</v>
      </c>
      <c r="V35" s="129">
        <f t="shared" si="23"/>
        <v>1993.4578274012056</v>
      </c>
      <c r="X35" s="169"/>
    </row>
    <row r="36" spans="2:24" ht="21" x14ac:dyDescent="0.35">
      <c r="B36" s="102" t="s">
        <v>72</v>
      </c>
      <c r="C36" s="187" t="s">
        <v>52</v>
      </c>
      <c r="D36" s="102" t="s">
        <v>124</v>
      </c>
      <c r="E36" s="103">
        <v>7000.8</v>
      </c>
      <c r="F36" s="126">
        <v>15</v>
      </c>
      <c r="G36" s="103"/>
      <c r="H36" s="103"/>
      <c r="I36" s="139"/>
      <c r="J36" s="141"/>
      <c r="K36" s="141">
        <f t="shared" si="17"/>
        <v>7000.8</v>
      </c>
      <c r="L36" s="141">
        <v>0</v>
      </c>
      <c r="M36" s="103">
        <v>948.11</v>
      </c>
      <c r="N36" s="103">
        <v>857.15</v>
      </c>
      <c r="O36" s="103">
        <v>-0.04</v>
      </c>
      <c r="P36" s="156">
        <f t="shared" si="22"/>
        <v>805.09</v>
      </c>
      <c r="Q36" s="103">
        <f t="shared" si="18"/>
        <v>1662.2</v>
      </c>
      <c r="R36" s="190">
        <f t="shared" si="19"/>
        <v>5338.6</v>
      </c>
      <c r="S36" s="170">
        <v>418.27782740120551</v>
      </c>
      <c r="T36" s="128">
        <f t="shared" si="20"/>
        <v>1435.16</v>
      </c>
      <c r="U36" s="157">
        <f t="shared" si="21"/>
        <v>140.02000000000001</v>
      </c>
      <c r="V36" s="129">
        <f t="shared" si="23"/>
        <v>1993.4578274012056</v>
      </c>
      <c r="X36" s="169"/>
    </row>
    <row r="37" spans="2:24" ht="21" x14ac:dyDescent="0.35">
      <c r="B37" s="102" t="s">
        <v>73</v>
      </c>
      <c r="C37" s="187" t="s">
        <v>47</v>
      </c>
      <c r="D37" s="102" t="s">
        <v>125</v>
      </c>
      <c r="E37" s="103">
        <v>7000.8</v>
      </c>
      <c r="F37" s="126">
        <v>15</v>
      </c>
      <c r="G37" s="141"/>
      <c r="H37" s="103"/>
      <c r="I37" s="145">
        <v>472</v>
      </c>
      <c r="J37" s="103"/>
      <c r="K37" s="103">
        <f t="shared" si="17"/>
        <v>6528.8</v>
      </c>
      <c r="L37" s="103">
        <v>0</v>
      </c>
      <c r="M37" s="103">
        <v>948.11</v>
      </c>
      <c r="N37" s="103">
        <v>857.15</v>
      </c>
      <c r="O37" s="103">
        <v>-0.04</v>
      </c>
      <c r="P37" s="156">
        <f t="shared" si="22"/>
        <v>805.09</v>
      </c>
      <c r="Q37" s="103">
        <f>SUM(N37:P37)+G37</f>
        <v>1662.2</v>
      </c>
      <c r="R37" s="190">
        <f>K37-Q37</f>
        <v>4866.6000000000004</v>
      </c>
      <c r="S37" s="170">
        <v>418.27782740120551</v>
      </c>
      <c r="T37" s="128">
        <f t="shared" si="20"/>
        <v>1435.16</v>
      </c>
      <c r="U37" s="157">
        <f t="shared" si="21"/>
        <v>140.02000000000001</v>
      </c>
      <c r="V37" s="129">
        <f t="shared" si="23"/>
        <v>1993.4578274012056</v>
      </c>
      <c r="X37" s="169"/>
    </row>
    <row r="38" spans="2:24" ht="21" x14ac:dyDescent="0.35">
      <c r="B38" s="102" t="s">
        <v>74</v>
      </c>
      <c r="C38" s="187" t="s">
        <v>53</v>
      </c>
      <c r="D38" s="102" t="s">
        <v>125</v>
      </c>
      <c r="E38" s="103">
        <v>7000.8</v>
      </c>
      <c r="F38" s="126">
        <v>15</v>
      </c>
      <c r="G38" s="178">
        <v>1500</v>
      </c>
      <c r="H38" s="103"/>
      <c r="I38" s="139"/>
      <c r="J38" s="103"/>
      <c r="K38" s="103">
        <f>E38-I38</f>
        <v>7000.8</v>
      </c>
      <c r="L38" s="103">
        <v>0</v>
      </c>
      <c r="M38" s="103">
        <v>948.11</v>
      </c>
      <c r="N38" s="103">
        <v>857.15</v>
      </c>
      <c r="O38" s="103">
        <v>-0.04</v>
      </c>
      <c r="P38" s="156">
        <f t="shared" si="22"/>
        <v>805.09</v>
      </c>
      <c r="Q38" s="103">
        <f>SUM(N38:P38)+G38</f>
        <v>3162.2</v>
      </c>
      <c r="R38" s="190">
        <f t="shared" si="19"/>
        <v>3838.6000000000004</v>
      </c>
      <c r="S38" s="170">
        <v>418.27782740120551</v>
      </c>
      <c r="T38" s="128">
        <f t="shared" si="20"/>
        <v>1435.16</v>
      </c>
      <c r="U38" s="157">
        <f t="shared" si="21"/>
        <v>140.02000000000001</v>
      </c>
      <c r="V38" s="129">
        <f t="shared" si="23"/>
        <v>1993.4578274012056</v>
      </c>
      <c r="X38" s="169"/>
    </row>
    <row r="39" spans="2:24" ht="21" x14ac:dyDescent="0.35">
      <c r="B39" s="102" t="s">
        <v>75</v>
      </c>
      <c r="C39" s="187" t="s">
        <v>39</v>
      </c>
      <c r="D39" s="102" t="s">
        <v>126</v>
      </c>
      <c r="E39" s="103">
        <v>7000.8</v>
      </c>
      <c r="F39" s="126">
        <v>15</v>
      </c>
      <c r="G39" s="141"/>
      <c r="H39" s="103"/>
      <c r="I39" s="144"/>
      <c r="J39" s="103"/>
      <c r="K39" s="103">
        <f>E39-I39</f>
        <v>7000.8</v>
      </c>
      <c r="L39" s="103">
        <v>0</v>
      </c>
      <c r="M39" s="103">
        <v>948.11</v>
      </c>
      <c r="N39" s="103">
        <v>857.15</v>
      </c>
      <c r="O39" s="103">
        <v>0.16</v>
      </c>
      <c r="P39" s="156">
        <f t="shared" si="22"/>
        <v>805.09</v>
      </c>
      <c r="Q39" s="103">
        <f>SUM(N39:P39)+G39</f>
        <v>1662.4</v>
      </c>
      <c r="R39" s="190">
        <f>K39-Q39</f>
        <v>5338.4</v>
      </c>
      <c r="S39" s="170">
        <v>418.27782740120551</v>
      </c>
      <c r="T39" s="128">
        <f t="shared" si="20"/>
        <v>1435.16</v>
      </c>
      <c r="U39" s="157">
        <f t="shared" si="21"/>
        <v>140.02000000000001</v>
      </c>
      <c r="V39" s="129">
        <f t="shared" si="23"/>
        <v>1993.4578274012056</v>
      </c>
      <c r="X39" s="169"/>
    </row>
    <row r="40" spans="2:24" ht="21" x14ac:dyDescent="0.35">
      <c r="B40" s="102" t="s">
        <v>76</v>
      </c>
      <c r="C40" s="187" t="s">
        <v>54</v>
      </c>
      <c r="D40" s="102" t="s">
        <v>126</v>
      </c>
      <c r="E40" s="103">
        <v>7000.8</v>
      </c>
      <c r="F40" s="126">
        <v>15</v>
      </c>
      <c r="G40" s="178">
        <v>1910</v>
      </c>
      <c r="H40" s="103"/>
      <c r="I40" s="144"/>
      <c r="J40" s="103"/>
      <c r="K40" s="103">
        <f>E40-I40</f>
        <v>7000.8</v>
      </c>
      <c r="L40" s="103">
        <v>0</v>
      </c>
      <c r="M40" s="103">
        <v>948.11</v>
      </c>
      <c r="N40" s="103">
        <v>857.15</v>
      </c>
      <c r="O40" s="103">
        <v>-0.04</v>
      </c>
      <c r="P40" s="156">
        <f t="shared" si="22"/>
        <v>805.09</v>
      </c>
      <c r="Q40" s="103">
        <f t="shared" si="18"/>
        <v>3572.2</v>
      </c>
      <c r="R40" s="190">
        <f>K40-Q40</f>
        <v>3428.6000000000004</v>
      </c>
      <c r="S40" s="170">
        <v>418.27782740120551</v>
      </c>
      <c r="T40" s="128">
        <f t="shared" si="20"/>
        <v>1435.16</v>
      </c>
      <c r="U40" s="157">
        <f t="shared" si="21"/>
        <v>140.02000000000001</v>
      </c>
      <c r="V40" s="129">
        <f t="shared" si="23"/>
        <v>1993.4578274012056</v>
      </c>
      <c r="X40" s="169"/>
    </row>
    <row r="41" spans="2:24" ht="18.75" x14ac:dyDescent="0.3">
      <c r="B41" s="138" t="s">
        <v>20</v>
      </c>
      <c r="C41" s="132"/>
      <c r="D41" s="133"/>
      <c r="E41" s="134">
        <f>SUM(E30:E40)</f>
        <v>77451.800000000017</v>
      </c>
      <c r="F41" s="134"/>
      <c r="G41" s="134">
        <f>+G40+G39+G38+G37+G36+G35+G34+G31+G33</f>
        <v>5149.9799999999996</v>
      </c>
      <c r="H41" s="134"/>
      <c r="I41" s="134">
        <f>SUM(I30:I40)</f>
        <v>472</v>
      </c>
      <c r="J41" s="134">
        <f t="shared" ref="J41:V41" si="24">SUM(J30:J40)</f>
        <v>0</v>
      </c>
      <c r="K41" s="134">
        <f>SUM(K30:K40)</f>
        <v>76979.800000000017</v>
      </c>
      <c r="L41" s="134">
        <f>SUM(L30:L40)</f>
        <v>0</v>
      </c>
      <c r="M41" s="134">
        <f>SUM(M30:M40)</f>
        <v>10523.83</v>
      </c>
      <c r="N41" s="134">
        <f>SUM(N30:N40)</f>
        <v>9523.2799999999988</v>
      </c>
      <c r="O41" s="134">
        <f t="shared" si="24"/>
        <v>0</v>
      </c>
      <c r="P41" s="134">
        <f>SUM(P30:P40)</f>
        <v>8906.94</v>
      </c>
      <c r="Q41" s="134">
        <f t="shared" si="24"/>
        <v>23580.2</v>
      </c>
      <c r="R41" s="135">
        <f t="shared" si="24"/>
        <v>53399.6</v>
      </c>
      <c r="S41" s="134">
        <f t="shared" si="24"/>
        <v>4612.7026459645658</v>
      </c>
      <c r="T41" s="134">
        <f t="shared" si="24"/>
        <v>15877.58</v>
      </c>
      <c r="U41" s="134">
        <f>SUM(U30:U40)</f>
        <v>1549.08</v>
      </c>
      <c r="V41" s="134">
        <f t="shared" si="24"/>
        <v>22039.362645964567</v>
      </c>
      <c r="X41" s="169"/>
    </row>
    <row r="42" spans="2:24" ht="18.75" hidden="1" x14ac:dyDescent="0.3">
      <c r="C42" s="136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37"/>
      <c r="X42" s="169"/>
    </row>
    <row r="43" spans="2:24" ht="18.75" x14ac:dyDescent="0.3">
      <c r="B43" s="138" t="s">
        <v>78</v>
      </c>
      <c r="C43" s="132" t="s">
        <v>34</v>
      </c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37"/>
      <c r="X43" s="169"/>
    </row>
    <row r="44" spans="2:24" ht="21" x14ac:dyDescent="0.35">
      <c r="B44" s="102" t="s">
        <v>69</v>
      </c>
      <c r="C44" s="187" t="s">
        <v>55</v>
      </c>
      <c r="D44" s="102" t="s">
        <v>130</v>
      </c>
      <c r="E44" s="103">
        <v>7443.8</v>
      </c>
      <c r="F44" s="126">
        <v>15</v>
      </c>
      <c r="G44" s="137"/>
      <c r="H44" s="103"/>
      <c r="I44" s="144"/>
      <c r="J44" s="141"/>
      <c r="K44" s="141">
        <f t="shared" ref="K44" si="25">E44-I44</f>
        <v>7443.8</v>
      </c>
      <c r="L44" s="141">
        <v>0</v>
      </c>
      <c r="M44" s="103">
        <v>1042.73</v>
      </c>
      <c r="N44" s="103">
        <v>951.78</v>
      </c>
      <c r="O44" s="103">
        <v>-0.02</v>
      </c>
      <c r="P44" s="156">
        <f t="shared" ref="P44:P46" si="26">ROUND(E44*0.115,2)</f>
        <v>856.04</v>
      </c>
      <c r="Q44" s="103">
        <f t="shared" ref="Q44" si="27">SUM(N44:P44)+G44</f>
        <v>1807.8</v>
      </c>
      <c r="R44" s="190">
        <f t="shared" ref="R44" si="28">K44-Q44</f>
        <v>5636</v>
      </c>
      <c r="S44" s="170">
        <v>429.92437195251148</v>
      </c>
      <c r="T44" s="128">
        <f t="shared" ref="T44:T46" si="29">ROUND(+E44*17.5%,2)+ROUND(E44*3%,2)</f>
        <v>1525.98</v>
      </c>
      <c r="U44" s="157">
        <f t="shared" ref="U44:U46" si="30">ROUND(+E44*2%,2)</f>
        <v>148.88</v>
      </c>
      <c r="V44" s="129">
        <f t="shared" ref="V44:V46" si="31">SUM(S44:U44)</f>
        <v>2104.7843719525117</v>
      </c>
      <c r="X44" s="169"/>
    </row>
    <row r="45" spans="2:24" ht="21" x14ac:dyDescent="0.35">
      <c r="B45" s="102" t="s">
        <v>81</v>
      </c>
      <c r="C45" s="187" t="s">
        <v>44</v>
      </c>
      <c r="D45" s="102" t="s">
        <v>128</v>
      </c>
      <c r="E45" s="103">
        <v>7000.8</v>
      </c>
      <c r="F45" s="126">
        <v>15</v>
      </c>
      <c r="G45" s="178">
        <v>1171.28</v>
      </c>
      <c r="H45" s="103"/>
      <c r="I45" s="144"/>
      <c r="J45" s="103"/>
      <c r="K45" s="103">
        <f>E45-I45</f>
        <v>7000.8</v>
      </c>
      <c r="L45" s="103">
        <v>0</v>
      </c>
      <c r="M45" s="103">
        <v>948.11</v>
      </c>
      <c r="N45" s="103">
        <v>857.15</v>
      </c>
      <c r="O45" s="103">
        <v>-0.12</v>
      </c>
      <c r="P45" s="156">
        <f t="shared" si="26"/>
        <v>805.09</v>
      </c>
      <c r="Q45" s="103">
        <f>SUM(N45:P45)+G45</f>
        <v>2833.3999999999996</v>
      </c>
      <c r="R45" s="190">
        <f>K45-Q45</f>
        <v>4167.4000000000005</v>
      </c>
      <c r="S45" s="170">
        <v>418.27782740120551</v>
      </c>
      <c r="T45" s="128">
        <f t="shared" si="29"/>
        <v>1435.16</v>
      </c>
      <c r="U45" s="157">
        <f t="shared" si="30"/>
        <v>140.02000000000001</v>
      </c>
      <c r="V45" s="129">
        <f t="shared" si="31"/>
        <v>1993.4578274012056</v>
      </c>
      <c r="X45" s="169"/>
    </row>
    <row r="46" spans="2:24" ht="21" x14ac:dyDescent="0.35">
      <c r="B46" s="102" t="s">
        <v>107</v>
      </c>
      <c r="C46" s="187" t="s">
        <v>108</v>
      </c>
      <c r="D46" s="102" t="s">
        <v>109</v>
      </c>
      <c r="E46" s="103">
        <v>7000.8</v>
      </c>
      <c r="F46" s="126">
        <v>15</v>
      </c>
      <c r="G46" s="103"/>
      <c r="H46" s="103"/>
      <c r="I46" s="103"/>
      <c r="J46" s="103"/>
      <c r="K46" s="103">
        <f>E46-I46</f>
        <v>7000.8</v>
      </c>
      <c r="L46" s="103">
        <v>0</v>
      </c>
      <c r="M46" s="103">
        <v>948.11</v>
      </c>
      <c r="N46" s="103">
        <v>857.15</v>
      </c>
      <c r="O46" s="103">
        <v>-0.04</v>
      </c>
      <c r="P46" s="156">
        <f t="shared" si="26"/>
        <v>805.09</v>
      </c>
      <c r="Q46" s="103">
        <f>SUM(N46:P46)+G46</f>
        <v>1662.2</v>
      </c>
      <c r="R46" s="190">
        <f>K46-Q46</f>
        <v>5338.6</v>
      </c>
      <c r="S46" s="170">
        <v>418.27782740120551</v>
      </c>
      <c r="T46" s="128">
        <f t="shared" si="29"/>
        <v>1435.16</v>
      </c>
      <c r="U46" s="157">
        <f t="shared" si="30"/>
        <v>140.02000000000001</v>
      </c>
      <c r="V46" s="129">
        <f t="shared" si="31"/>
        <v>1993.4578274012056</v>
      </c>
      <c r="X46" s="169"/>
    </row>
    <row r="47" spans="2:24" ht="18.75" x14ac:dyDescent="0.3">
      <c r="B47" s="138" t="s">
        <v>20</v>
      </c>
      <c r="C47" s="132"/>
      <c r="D47" s="133"/>
      <c r="E47" s="134">
        <f>E44+E45+E46</f>
        <v>21445.4</v>
      </c>
      <c r="F47" s="134"/>
      <c r="G47" s="134">
        <f t="shared" ref="G47:V47" si="32">G44+G45+G46</f>
        <v>1171.28</v>
      </c>
      <c r="H47" s="134">
        <f t="shared" si="32"/>
        <v>0</v>
      </c>
      <c r="I47" s="134">
        <f>I44+I45+I46</f>
        <v>0</v>
      </c>
      <c r="J47" s="134">
        <f t="shared" si="32"/>
        <v>0</v>
      </c>
      <c r="K47" s="134">
        <f>K44+K45+K46</f>
        <v>21445.4</v>
      </c>
      <c r="L47" s="134">
        <f t="shared" ref="L47:M47" si="33">L44+L45+L46</f>
        <v>0</v>
      </c>
      <c r="M47" s="134">
        <f t="shared" si="33"/>
        <v>2938.9500000000003</v>
      </c>
      <c r="N47" s="134">
        <f>N44+N45+N46</f>
        <v>2666.08</v>
      </c>
      <c r="O47" s="134">
        <f t="shared" si="32"/>
        <v>-0.18</v>
      </c>
      <c r="P47" s="134">
        <f>P44+P45+P46</f>
        <v>2466.2200000000003</v>
      </c>
      <c r="Q47" s="134">
        <f t="shared" si="32"/>
        <v>6303.4</v>
      </c>
      <c r="R47" s="135">
        <f t="shared" si="32"/>
        <v>15142.000000000002</v>
      </c>
      <c r="S47" s="134">
        <f t="shared" si="32"/>
        <v>1266.4800267549226</v>
      </c>
      <c r="T47" s="134">
        <f t="shared" si="32"/>
        <v>4396.3</v>
      </c>
      <c r="U47" s="134">
        <f>U44+U45+U46</f>
        <v>428.91999999999996</v>
      </c>
      <c r="V47" s="134">
        <f t="shared" si="32"/>
        <v>6091.7000267549229</v>
      </c>
      <c r="X47" s="169"/>
    </row>
    <row r="48" spans="2:24" ht="18.75" hidden="1" x14ac:dyDescent="0.3">
      <c r="B48" s="138"/>
      <c r="C48" s="136"/>
      <c r="E48" s="103"/>
      <c r="F48" s="103"/>
      <c r="G48" s="103"/>
      <c r="H48" s="103"/>
      <c r="I48" s="103"/>
      <c r="J48" s="103"/>
      <c r="K48" s="146"/>
      <c r="L48" s="146"/>
      <c r="M48" s="146"/>
      <c r="N48" s="146"/>
      <c r="O48" s="146"/>
      <c r="P48" s="146"/>
      <c r="Q48" s="146"/>
      <c r="R48" s="147"/>
      <c r="S48" s="148"/>
      <c r="T48" s="148"/>
      <c r="U48" s="148"/>
      <c r="V48" s="148"/>
      <c r="X48" s="169"/>
    </row>
    <row r="49" spans="2:24" ht="18.75" x14ac:dyDescent="0.3">
      <c r="B49" s="138" t="s">
        <v>84</v>
      </c>
      <c r="C49" s="132" t="s">
        <v>85</v>
      </c>
      <c r="E49" s="103"/>
      <c r="F49" s="103"/>
      <c r="G49" s="103"/>
      <c r="H49" s="103"/>
      <c r="I49" s="103"/>
      <c r="J49" s="103"/>
      <c r="K49" s="146"/>
      <c r="L49" s="146"/>
      <c r="M49" s="146"/>
      <c r="N49" s="146"/>
      <c r="O49" s="146"/>
      <c r="P49" s="146"/>
      <c r="Q49" s="146"/>
      <c r="R49" s="147"/>
      <c r="S49" s="148"/>
      <c r="T49" s="148"/>
      <c r="U49" s="148"/>
      <c r="V49" s="148"/>
      <c r="X49" s="169"/>
    </row>
    <row r="50" spans="2:24" ht="21" x14ac:dyDescent="0.35">
      <c r="B50" s="102" t="s">
        <v>86</v>
      </c>
      <c r="C50" s="187" t="s">
        <v>30</v>
      </c>
      <c r="D50" s="102" t="s">
        <v>114</v>
      </c>
      <c r="E50" s="103">
        <v>13000</v>
      </c>
      <c r="F50" s="126">
        <v>15</v>
      </c>
      <c r="G50" s="178">
        <v>6096.43</v>
      </c>
      <c r="H50" s="103"/>
      <c r="I50" s="103"/>
      <c r="J50" s="103"/>
      <c r="K50" s="103">
        <f>E50-I50</f>
        <v>13000</v>
      </c>
      <c r="L50" s="103">
        <v>0</v>
      </c>
      <c r="M50" s="103">
        <v>2288.9699999999998</v>
      </c>
      <c r="N50" s="103">
        <v>2161.23</v>
      </c>
      <c r="O50" s="103">
        <v>-0.06</v>
      </c>
      <c r="P50" s="156">
        <f>ROUND(E50*0.115,2)</f>
        <v>1495</v>
      </c>
      <c r="Q50" s="103">
        <f>SUM(N50:P50)+G50</f>
        <v>9752.6</v>
      </c>
      <c r="R50" s="190">
        <f>K50-Q50</f>
        <v>3247.3999999999996</v>
      </c>
      <c r="S50" s="170">
        <v>582.57711115981726</v>
      </c>
      <c r="T50" s="128">
        <f t="shared" ref="T50" si="34">ROUND(+E50*17.5%,2)+ROUND(E50*3%,2)</f>
        <v>2665</v>
      </c>
      <c r="U50" s="157">
        <f>ROUND(+E50*2%,2)</f>
        <v>260</v>
      </c>
      <c r="V50" s="129">
        <f t="shared" ref="V50" si="35">SUM(S50:U50)</f>
        <v>3507.5771111598174</v>
      </c>
      <c r="X50" s="169"/>
    </row>
    <row r="51" spans="2:24" ht="18.75" x14ac:dyDescent="0.3">
      <c r="B51" s="138" t="s">
        <v>20</v>
      </c>
      <c r="E51" s="134">
        <f>E50</f>
        <v>13000</v>
      </c>
      <c r="F51" s="134"/>
      <c r="G51" s="134">
        <f>+G50</f>
        <v>6096.43</v>
      </c>
      <c r="H51" s="134"/>
      <c r="I51" s="134">
        <f>I50</f>
        <v>0</v>
      </c>
      <c r="J51" s="134">
        <f>J50</f>
        <v>0</v>
      </c>
      <c r="K51" s="134">
        <f>K50</f>
        <v>13000</v>
      </c>
      <c r="L51" s="134">
        <f t="shared" ref="L51:V51" si="36">L50</f>
        <v>0</v>
      </c>
      <c r="M51" s="134">
        <f t="shared" si="36"/>
        <v>2288.9699999999998</v>
      </c>
      <c r="N51" s="134">
        <f t="shared" si="36"/>
        <v>2161.23</v>
      </c>
      <c r="O51" s="134">
        <f t="shared" si="36"/>
        <v>-0.06</v>
      </c>
      <c r="P51" s="134">
        <f>P50</f>
        <v>1495</v>
      </c>
      <c r="Q51" s="134">
        <f t="shared" si="36"/>
        <v>9752.6</v>
      </c>
      <c r="R51" s="135">
        <f>R50</f>
        <v>3247.3999999999996</v>
      </c>
      <c r="S51" s="134">
        <f t="shared" si="36"/>
        <v>582.57711115981726</v>
      </c>
      <c r="T51" s="134">
        <f t="shared" si="36"/>
        <v>2665</v>
      </c>
      <c r="U51" s="134">
        <f>U50</f>
        <v>260</v>
      </c>
      <c r="V51" s="134">
        <f t="shared" si="36"/>
        <v>3507.5771111598174</v>
      </c>
      <c r="X51" s="169"/>
    </row>
    <row r="52" spans="2:24" ht="12" customHeight="1" x14ac:dyDescent="0.3">
      <c r="B52" s="138"/>
      <c r="E52" s="103"/>
      <c r="F52" s="103"/>
      <c r="G52" s="103"/>
      <c r="H52" s="103"/>
      <c r="I52" s="103"/>
      <c r="J52" s="103"/>
      <c r="K52" s="146"/>
      <c r="L52" s="146"/>
      <c r="M52" s="146"/>
      <c r="N52" s="146"/>
      <c r="O52" s="146"/>
      <c r="P52" s="146"/>
      <c r="Q52" s="146"/>
      <c r="R52" s="147"/>
      <c r="S52" s="148"/>
      <c r="T52" s="148"/>
      <c r="U52" s="148"/>
      <c r="V52" s="148"/>
    </row>
    <row r="53" spans="2:24" ht="18.75" hidden="1" x14ac:dyDescent="0.3">
      <c r="R53" s="149"/>
    </row>
    <row r="54" spans="2:24" ht="18.75" x14ac:dyDescent="0.3">
      <c r="C54" s="150" t="s">
        <v>56</v>
      </c>
      <c r="E54" s="151">
        <f>E9+E20+E27+E41+E47+E51</f>
        <v>219167.75999999998</v>
      </c>
      <c r="F54" s="151"/>
      <c r="G54" s="152">
        <f>G9+G20+G27+G41+G47+G51</f>
        <v>27370.269999999997</v>
      </c>
      <c r="H54" s="151"/>
      <c r="I54" s="151">
        <f t="shared" ref="I54:V54" si="37">I9+I20+I27+I41+I47+I51</f>
        <v>1127.78</v>
      </c>
      <c r="J54" s="151">
        <f t="shared" si="37"/>
        <v>0</v>
      </c>
      <c r="K54" s="151">
        <f t="shared" si="37"/>
        <v>218039.98</v>
      </c>
      <c r="L54" s="151">
        <f t="shared" si="37"/>
        <v>0</v>
      </c>
      <c r="M54" s="151">
        <f t="shared" si="37"/>
        <v>31517.59</v>
      </c>
      <c r="N54" s="151">
        <f t="shared" si="37"/>
        <v>28724.859999999997</v>
      </c>
      <c r="O54" s="151">
        <f t="shared" si="37"/>
        <v>-0.19</v>
      </c>
      <c r="P54" s="152">
        <f>P9+P20+P27+P41+P47+P51</f>
        <v>25204.260000000002</v>
      </c>
      <c r="Q54" s="151">
        <f t="shared" si="37"/>
        <v>81299.200000000012</v>
      </c>
      <c r="R54" s="153">
        <f t="shared" si="37"/>
        <v>136740.78</v>
      </c>
      <c r="S54" s="151">
        <f t="shared" si="37"/>
        <v>12657.856358816409</v>
      </c>
      <c r="T54" s="151">
        <f>T51+T47+T41+T27+T20+T9</f>
        <v>44929.312474999999</v>
      </c>
      <c r="U54" s="152">
        <f>U9+U20+U27+U41+U47+U51</f>
        <v>4383.45</v>
      </c>
      <c r="V54" s="154">
        <f t="shared" si="37"/>
        <v>61970.618833816414</v>
      </c>
    </row>
    <row r="55" spans="2:24" ht="18.75" x14ac:dyDescent="0.3">
      <c r="S55" s="151"/>
      <c r="T55" s="151"/>
    </row>
    <row r="56" spans="2:24" x14ac:dyDescent="0.25">
      <c r="T56" s="103"/>
      <c r="X56" s="169"/>
    </row>
    <row r="63" spans="2:24" ht="16.5" thickBot="1" x14ac:dyDescent="0.3">
      <c r="E63" s="293"/>
      <c r="F63" s="293"/>
      <c r="G63" s="188"/>
      <c r="H63" s="188"/>
      <c r="P63" s="294"/>
      <c r="Q63" s="294"/>
    </row>
    <row r="64" spans="2:24" ht="15" x14ac:dyDescent="0.25">
      <c r="E64" s="295" t="s">
        <v>91</v>
      </c>
      <c r="F64" s="295"/>
      <c r="G64" s="189"/>
      <c r="H64" s="189"/>
      <c r="P64" s="155"/>
      <c r="Q64" s="155"/>
      <c r="R64" s="296" t="s">
        <v>82</v>
      </c>
      <c r="S64" s="296"/>
      <c r="T64" s="188"/>
    </row>
    <row r="68" spans="3:3" x14ac:dyDescent="0.25">
      <c r="C68" s="102" t="s">
        <v>90</v>
      </c>
    </row>
  </sheetData>
  <mergeCells count="5">
    <mergeCell ref="B4:V4"/>
    <mergeCell ref="E63:F63"/>
    <mergeCell ref="P63:Q63"/>
    <mergeCell ref="E64:F64"/>
    <mergeCell ref="R64:S64"/>
  </mergeCells>
  <pageMargins left="0.51181102362204722" right="0.51181102362204722" top="0.15748031496062992" bottom="0.35433070866141736" header="0.31496062992125984" footer="0.31496062992125984"/>
  <pageSetup scale="4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FF60C-0C7D-4887-A80B-FECC59562D22}">
  <sheetPr>
    <pageSetUpPr fitToPage="1"/>
  </sheetPr>
  <dimension ref="B3:X68"/>
  <sheetViews>
    <sheetView topLeftCell="A35" zoomScale="87" zoomScaleNormal="87" workbookViewId="0">
      <selection activeCell="E15" sqref="E15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2.28515625" style="102" customWidth="1"/>
    <col min="8" max="8" width="14.140625" style="102" hidden="1" customWidth="1"/>
    <col min="9" max="9" width="13.28515625" style="102" customWidth="1"/>
    <col min="10" max="10" width="13.28515625" style="102" hidden="1" customWidth="1"/>
    <col min="11" max="11" width="13.28515625" style="102" customWidth="1"/>
    <col min="12" max="12" width="9.42578125" style="102" hidden="1" customWidth="1"/>
    <col min="13" max="13" width="14.42578125" style="102" hidden="1" customWidth="1"/>
    <col min="14" max="14" width="12.7109375" style="102" bestFit="1" customWidth="1"/>
    <col min="15" max="15" width="11.42578125" style="102" customWidth="1"/>
    <col min="16" max="16" width="12.85546875" style="102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4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4" ht="16.5" customHeight="1" x14ac:dyDescent="0.25">
      <c r="B4" s="291" t="s">
        <v>149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4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2" t="s">
        <v>148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4" x14ac:dyDescent="0.25">
      <c r="B6" s="121" t="s">
        <v>13</v>
      </c>
      <c r="C6" s="122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4" ht="21" x14ac:dyDescent="0.35">
      <c r="B7" s="102" t="s">
        <v>15</v>
      </c>
      <c r="C7" s="125" t="s">
        <v>16</v>
      </c>
      <c r="D7" s="102" t="s">
        <v>19</v>
      </c>
      <c r="E7" s="103">
        <v>19461.365000000002</v>
      </c>
      <c r="F7" s="126">
        <v>15</v>
      </c>
      <c r="G7" s="141"/>
      <c r="H7" s="103"/>
      <c r="I7" s="103"/>
      <c r="J7" s="103"/>
      <c r="K7" s="103">
        <f>E7-I7</f>
        <v>19461.365000000002</v>
      </c>
      <c r="L7" s="103">
        <v>0</v>
      </c>
      <c r="M7" s="103">
        <v>4023.06</v>
      </c>
      <c r="N7" s="103">
        <v>3721.35</v>
      </c>
      <c r="O7" s="103">
        <v>-0.04</v>
      </c>
      <c r="P7" s="156">
        <f>ROUND(E7*0.115,2)</f>
        <v>2238.06</v>
      </c>
      <c r="Q7" s="103">
        <f>SUM(N7:P7)+G7</f>
        <v>5959.37</v>
      </c>
      <c r="R7" s="190">
        <f>K7-Q7</f>
        <v>13501.995000000003</v>
      </c>
      <c r="S7" s="29">
        <v>786.46500000000003</v>
      </c>
      <c r="T7" s="128">
        <f>+E7*17.5%+E7*3%</f>
        <v>3989.5798249999998</v>
      </c>
      <c r="U7" s="157">
        <f>ROUND(+E7*2%,2)</f>
        <v>389.23</v>
      </c>
      <c r="V7" s="129">
        <f>SUM(S7:U7)</f>
        <v>5165.2748250000004</v>
      </c>
      <c r="X7" s="169"/>
    </row>
    <row r="8" spans="2:24" ht="21" x14ac:dyDescent="0.35">
      <c r="B8" s="102" t="s">
        <v>17</v>
      </c>
      <c r="C8" s="125" t="s">
        <v>18</v>
      </c>
      <c r="D8" s="102" t="s">
        <v>2</v>
      </c>
      <c r="E8" s="103">
        <v>6247.33</v>
      </c>
      <c r="F8" s="126">
        <v>15</v>
      </c>
      <c r="G8" s="193">
        <v>1000</v>
      </c>
      <c r="H8" s="103"/>
      <c r="I8" s="130"/>
      <c r="J8" s="103"/>
      <c r="K8" s="103">
        <f>E8-I8</f>
        <v>6247.33</v>
      </c>
      <c r="L8" s="103">
        <v>0</v>
      </c>
      <c r="M8" s="103">
        <v>787.17</v>
      </c>
      <c r="N8" s="103">
        <v>696.21</v>
      </c>
      <c r="O8" s="103">
        <v>-0.12</v>
      </c>
      <c r="P8" s="156">
        <f>ROUND(E8*0.115,2)</f>
        <v>718.44</v>
      </c>
      <c r="Q8" s="103">
        <f>SUM(N8:P8)+G8</f>
        <v>2414.5300000000002</v>
      </c>
      <c r="R8" s="190">
        <f>K8-Q8</f>
        <v>3832.7999999999997</v>
      </c>
      <c r="S8" s="29">
        <v>384.94</v>
      </c>
      <c r="T8" s="128">
        <f>+E8*17.5%+E8*3%</f>
        <v>1280.7026499999997</v>
      </c>
      <c r="U8" s="157">
        <f>ROUND(+E8*2%,2)</f>
        <v>124.95</v>
      </c>
      <c r="V8" s="129">
        <f>SUM(S8:U8)</f>
        <v>1790.5926499999998</v>
      </c>
      <c r="X8" s="169"/>
    </row>
    <row r="9" spans="2:24" ht="18.75" x14ac:dyDescent="0.3">
      <c r="B9" s="131" t="s">
        <v>20</v>
      </c>
      <c r="C9" s="132"/>
      <c r="D9" s="133"/>
      <c r="E9" s="134">
        <f>SUM(E7:E8)</f>
        <v>25708.695</v>
      </c>
      <c r="F9" s="134"/>
      <c r="G9" s="134">
        <f>+G8+G7</f>
        <v>1000</v>
      </c>
      <c r="H9" s="134"/>
      <c r="I9" s="134">
        <f t="shared" ref="I9:V9" si="0">SUM(I7:I8)</f>
        <v>0</v>
      </c>
      <c r="J9" s="134">
        <f t="shared" si="0"/>
        <v>0</v>
      </c>
      <c r="K9" s="134">
        <f t="shared" si="0"/>
        <v>25708.695</v>
      </c>
      <c r="L9" s="134">
        <f t="shared" si="0"/>
        <v>0</v>
      </c>
      <c r="M9" s="134">
        <f>SUM(M7:M8)</f>
        <v>4810.2299999999996</v>
      </c>
      <c r="N9" s="134">
        <f t="shared" si="0"/>
        <v>4417.5599999999995</v>
      </c>
      <c r="O9" s="134">
        <f t="shared" si="0"/>
        <v>-0.16</v>
      </c>
      <c r="P9" s="134">
        <f>SUM(P7:P8)</f>
        <v>2956.5</v>
      </c>
      <c r="Q9" s="134">
        <f t="shared" si="0"/>
        <v>8373.9</v>
      </c>
      <c r="R9" s="135">
        <f>SUM(R7:R8)</f>
        <v>17334.795000000002</v>
      </c>
      <c r="S9" s="134">
        <f t="shared" si="0"/>
        <v>1171.405</v>
      </c>
      <c r="T9" s="134">
        <f t="shared" si="0"/>
        <v>5270.282475</v>
      </c>
      <c r="U9" s="134">
        <f>SUM(U7:U8)</f>
        <v>514.18000000000006</v>
      </c>
      <c r="V9" s="134">
        <f t="shared" si="0"/>
        <v>6955.867475</v>
      </c>
      <c r="X9" s="169"/>
    </row>
    <row r="10" spans="2:24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4" ht="18.75" x14ac:dyDescent="0.3">
      <c r="B11" s="138" t="s">
        <v>21</v>
      </c>
      <c r="C11" s="132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4" ht="21" x14ac:dyDescent="0.35">
      <c r="B12" s="102" t="s">
        <v>23</v>
      </c>
      <c r="C12" s="125" t="s">
        <v>28</v>
      </c>
      <c r="D12" s="102" t="s">
        <v>114</v>
      </c>
      <c r="E12" s="103">
        <v>13000</v>
      </c>
      <c r="F12" s="126">
        <v>15</v>
      </c>
      <c r="G12" s="193">
        <v>3394</v>
      </c>
      <c r="H12" s="103"/>
      <c r="I12" s="103"/>
      <c r="J12" s="103"/>
      <c r="K12" s="103">
        <f t="shared" ref="K12:K18" si="1">E12-I12</f>
        <v>13000</v>
      </c>
      <c r="L12" s="103">
        <v>0</v>
      </c>
      <c r="M12" s="103">
        <v>2288.9699999999998</v>
      </c>
      <c r="N12" s="103">
        <v>2161.23</v>
      </c>
      <c r="O12" s="103">
        <v>-0.03</v>
      </c>
      <c r="P12" s="156">
        <f t="shared" ref="P12:P19" si="2">ROUND(E12*0.115,2)</f>
        <v>1495</v>
      </c>
      <c r="Q12" s="103">
        <f t="shared" ref="Q12:Q19" si="3">SUM(N12:P12)+G12</f>
        <v>7050.2</v>
      </c>
      <c r="R12" s="190">
        <f t="shared" ref="R12:R19" si="4">K12-Q12</f>
        <v>5949.8</v>
      </c>
      <c r="S12" s="29">
        <v>571.58500000000004</v>
      </c>
      <c r="T12" s="128">
        <f>ROUND(+E12*17.5%,2)+ROUND(E12*3%,2)</f>
        <v>2665</v>
      </c>
      <c r="U12" s="157">
        <f t="shared" ref="U12:U19" si="5">ROUND(+E12*2%,2)</f>
        <v>260</v>
      </c>
      <c r="V12" s="129">
        <f t="shared" ref="V12:V19" si="6">SUM(S12:U12)</f>
        <v>3496.585</v>
      </c>
      <c r="X12" s="169"/>
    </row>
    <row r="13" spans="2:24" ht="21" x14ac:dyDescent="0.35">
      <c r="B13" s="102" t="s">
        <v>24</v>
      </c>
      <c r="C13" s="125" t="s">
        <v>29</v>
      </c>
      <c r="D13" s="102" t="s">
        <v>116</v>
      </c>
      <c r="E13" s="103">
        <v>7000.8</v>
      </c>
      <c r="F13" s="126">
        <v>15</v>
      </c>
      <c r="G13" s="193">
        <v>2129.5700000000002</v>
      </c>
      <c r="H13" s="103"/>
      <c r="I13" s="139"/>
      <c r="J13" s="140"/>
      <c r="K13" s="103">
        <f>E13-I13</f>
        <v>7000.8</v>
      </c>
      <c r="L13" s="103">
        <v>0</v>
      </c>
      <c r="M13" s="103">
        <v>948.11</v>
      </c>
      <c r="N13" s="103">
        <v>857.15</v>
      </c>
      <c r="O13" s="103">
        <v>-0.01</v>
      </c>
      <c r="P13" s="156">
        <f t="shared" si="2"/>
        <v>805.09</v>
      </c>
      <c r="Q13" s="103">
        <f t="shared" si="3"/>
        <v>3791.8</v>
      </c>
      <c r="R13" s="190">
        <f t="shared" si="4"/>
        <v>3209</v>
      </c>
      <c r="S13" s="29">
        <v>410.61500000000001</v>
      </c>
      <c r="T13" s="128">
        <f t="shared" ref="T13:T19" si="7">ROUND(+E13*17.5%,2)+ROUND(E13*3%,2)</f>
        <v>1435.16</v>
      </c>
      <c r="U13" s="157">
        <f t="shared" si="5"/>
        <v>140.02000000000001</v>
      </c>
      <c r="V13" s="129">
        <f t="shared" si="6"/>
        <v>1985.7950000000001</v>
      </c>
      <c r="X13" s="169"/>
    </row>
    <row r="14" spans="2:24" ht="21" x14ac:dyDescent="0.35">
      <c r="B14" s="102" t="s">
        <v>25</v>
      </c>
      <c r="C14" s="125" t="s">
        <v>92</v>
      </c>
      <c r="D14" s="102" t="s">
        <v>115</v>
      </c>
      <c r="E14" s="103">
        <v>7000.8</v>
      </c>
      <c r="F14" s="126">
        <v>15</v>
      </c>
      <c r="G14" s="193">
        <v>1330.99</v>
      </c>
      <c r="H14" s="141"/>
      <c r="I14" s="139"/>
      <c r="J14" s="140"/>
      <c r="K14" s="103">
        <f>E14-I14</f>
        <v>7000.8</v>
      </c>
      <c r="L14" s="103">
        <v>0</v>
      </c>
      <c r="M14" s="103">
        <v>948.11</v>
      </c>
      <c r="N14" s="103">
        <v>857.15</v>
      </c>
      <c r="O14" s="103">
        <v>-0.03</v>
      </c>
      <c r="P14" s="156">
        <f>ROUND(E14*0.115,2)</f>
        <v>805.09</v>
      </c>
      <c r="Q14" s="103">
        <f>SUM(N14:P14)+G14</f>
        <v>2993.2</v>
      </c>
      <c r="R14" s="190">
        <f>K14-Q14</f>
        <v>4007.6000000000004</v>
      </c>
      <c r="S14" s="29">
        <v>410.61500000000001</v>
      </c>
      <c r="T14" s="128">
        <f t="shared" si="7"/>
        <v>1435.16</v>
      </c>
      <c r="U14" s="157">
        <f t="shared" si="5"/>
        <v>140.02000000000001</v>
      </c>
      <c r="V14" s="129">
        <f t="shared" si="6"/>
        <v>1985.7950000000001</v>
      </c>
      <c r="X14" s="169"/>
    </row>
    <row r="15" spans="2:24" ht="21" x14ac:dyDescent="0.35">
      <c r="B15" s="102" t="s">
        <v>26</v>
      </c>
      <c r="C15" s="125" t="s">
        <v>58</v>
      </c>
      <c r="D15" s="102" t="s">
        <v>37</v>
      </c>
      <c r="E15" s="103">
        <v>7443.8</v>
      </c>
      <c r="F15" s="126">
        <v>15</v>
      </c>
      <c r="G15" s="103"/>
      <c r="H15" s="103"/>
      <c r="I15" s="139"/>
      <c r="J15" s="103"/>
      <c r="K15" s="103">
        <f t="shared" si="1"/>
        <v>7443.8</v>
      </c>
      <c r="L15" s="103">
        <v>0</v>
      </c>
      <c r="M15" s="103">
        <v>1042.73</v>
      </c>
      <c r="N15" s="103">
        <v>951.78</v>
      </c>
      <c r="O15" s="103">
        <v>-0.02</v>
      </c>
      <c r="P15" s="156">
        <f t="shared" si="2"/>
        <v>856.04</v>
      </c>
      <c r="Q15" s="103">
        <f t="shared" si="3"/>
        <v>1807.8</v>
      </c>
      <c r="R15" s="190">
        <f t="shared" si="4"/>
        <v>5636</v>
      </c>
      <c r="S15" s="29">
        <v>422.27</v>
      </c>
      <c r="T15" s="128">
        <f t="shared" si="7"/>
        <v>1525.98</v>
      </c>
      <c r="U15" s="157">
        <f t="shared" si="5"/>
        <v>148.88</v>
      </c>
      <c r="V15" s="129">
        <f t="shared" si="6"/>
        <v>2097.13</v>
      </c>
      <c r="X15" s="169"/>
    </row>
    <row r="16" spans="2:24" ht="21" x14ac:dyDescent="0.35">
      <c r="B16" s="102" t="s">
        <v>27</v>
      </c>
      <c r="C16" s="125" t="s">
        <v>40</v>
      </c>
      <c r="D16" s="102" t="s">
        <v>117</v>
      </c>
      <c r="E16" s="103">
        <v>4918.3649999999998</v>
      </c>
      <c r="F16" s="126">
        <v>15</v>
      </c>
      <c r="G16" s="193">
        <v>2050</v>
      </c>
      <c r="H16" s="103"/>
      <c r="I16" s="139"/>
      <c r="J16" s="103"/>
      <c r="K16" s="103">
        <f>E16-I16</f>
        <v>4918.3649999999998</v>
      </c>
      <c r="L16" s="103">
        <v>0</v>
      </c>
      <c r="M16" s="103">
        <v>508.91</v>
      </c>
      <c r="N16" s="103">
        <v>447.61</v>
      </c>
      <c r="O16" s="103">
        <v>-0.05</v>
      </c>
      <c r="P16" s="156">
        <f>ROUND(E16*0.115,2)</f>
        <v>565.61</v>
      </c>
      <c r="Q16" s="103">
        <f>SUM(N16:P16)+G16</f>
        <v>3063.17</v>
      </c>
      <c r="R16" s="190">
        <f t="shared" si="4"/>
        <v>1855.1949999999997</v>
      </c>
      <c r="S16" s="29">
        <v>361.11500000000001</v>
      </c>
      <c r="T16" s="128">
        <f t="shared" si="7"/>
        <v>1008.26</v>
      </c>
      <c r="U16" s="157">
        <f t="shared" si="5"/>
        <v>98.37</v>
      </c>
      <c r="V16" s="129">
        <f t="shared" si="6"/>
        <v>1467.7449999999999</v>
      </c>
      <c r="X16" s="169"/>
    </row>
    <row r="17" spans="2:24" ht="21" x14ac:dyDescent="0.35">
      <c r="B17" s="102" t="s">
        <v>60</v>
      </c>
      <c r="C17" s="125" t="s">
        <v>41</v>
      </c>
      <c r="D17" s="102" t="s">
        <v>118</v>
      </c>
      <c r="E17" s="103">
        <v>4918.3649999999998</v>
      </c>
      <c r="F17" s="126">
        <v>15</v>
      </c>
      <c r="G17" s="193">
        <v>1676.62</v>
      </c>
      <c r="H17" s="103"/>
      <c r="I17" s="139"/>
      <c r="J17" s="103"/>
      <c r="K17" s="103">
        <f>E17-I17</f>
        <v>4918.3649999999998</v>
      </c>
      <c r="L17" s="103">
        <v>0</v>
      </c>
      <c r="M17" s="103">
        <v>508.91</v>
      </c>
      <c r="N17" s="103">
        <v>447.61</v>
      </c>
      <c r="O17" s="103">
        <v>-7.0000000000000007E-2</v>
      </c>
      <c r="P17" s="156">
        <f t="shared" si="2"/>
        <v>565.61</v>
      </c>
      <c r="Q17" s="103">
        <f>SUM(N17:P17)+G17</f>
        <v>2689.77</v>
      </c>
      <c r="R17" s="190">
        <f>K17-Q17</f>
        <v>2228.5949999999998</v>
      </c>
      <c r="S17" s="29">
        <v>361.11500000000001</v>
      </c>
      <c r="T17" s="128">
        <f t="shared" si="7"/>
        <v>1008.26</v>
      </c>
      <c r="U17" s="157">
        <f t="shared" si="5"/>
        <v>98.37</v>
      </c>
      <c r="V17" s="129">
        <f t="shared" si="6"/>
        <v>1467.7449999999999</v>
      </c>
      <c r="X17" s="169"/>
    </row>
    <row r="18" spans="2:24" ht="21" x14ac:dyDescent="0.35">
      <c r="B18" s="102" t="s">
        <v>61</v>
      </c>
      <c r="C18" s="125" t="s">
        <v>43</v>
      </c>
      <c r="D18" s="102" t="s">
        <v>3</v>
      </c>
      <c r="E18" s="103">
        <v>4358.17</v>
      </c>
      <c r="F18" s="126">
        <v>15</v>
      </c>
      <c r="G18" s="193">
        <v>969</v>
      </c>
      <c r="H18" s="103"/>
      <c r="I18" s="103"/>
      <c r="J18" s="103"/>
      <c r="K18" s="103">
        <f t="shared" si="1"/>
        <v>4358.17</v>
      </c>
      <c r="L18" s="103"/>
      <c r="M18" s="103">
        <v>408.52</v>
      </c>
      <c r="N18" s="103">
        <v>357.97</v>
      </c>
      <c r="O18" s="103">
        <v>0.01</v>
      </c>
      <c r="P18" s="156">
        <f t="shared" si="2"/>
        <v>501.19</v>
      </c>
      <c r="Q18" s="103">
        <f t="shared" si="3"/>
        <v>1828.17</v>
      </c>
      <c r="R18" s="190">
        <f t="shared" si="4"/>
        <v>2530</v>
      </c>
      <c r="S18" s="29">
        <v>326.7</v>
      </c>
      <c r="T18" s="128">
        <f t="shared" si="7"/>
        <v>893.43</v>
      </c>
      <c r="U18" s="157">
        <f t="shared" si="5"/>
        <v>87.16</v>
      </c>
      <c r="V18" s="129">
        <f t="shared" si="6"/>
        <v>1307.29</v>
      </c>
      <c r="X18" s="169"/>
    </row>
    <row r="19" spans="2:24" ht="21" x14ac:dyDescent="0.35">
      <c r="B19" s="102" t="s">
        <v>62</v>
      </c>
      <c r="C19" s="125" t="s">
        <v>42</v>
      </c>
      <c r="D19" s="102" t="s">
        <v>119</v>
      </c>
      <c r="E19" s="103">
        <v>4918.3649999999998</v>
      </c>
      <c r="F19" s="126">
        <v>15</v>
      </c>
      <c r="G19" s="193">
        <v>1213.4000000000001</v>
      </c>
      <c r="H19" s="130"/>
      <c r="I19" s="139"/>
      <c r="J19" s="103"/>
      <c r="K19" s="103">
        <f>E19-I19+H19</f>
        <v>4918.3649999999998</v>
      </c>
      <c r="L19" s="103"/>
      <c r="M19" s="103">
        <v>508.91</v>
      </c>
      <c r="N19" s="103">
        <v>447.61</v>
      </c>
      <c r="O19" s="103">
        <v>-0.05</v>
      </c>
      <c r="P19" s="156">
        <f t="shared" si="2"/>
        <v>565.61</v>
      </c>
      <c r="Q19" s="103">
        <f t="shared" si="3"/>
        <v>2226.5700000000002</v>
      </c>
      <c r="R19" s="190">
        <f t="shared" si="4"/>
        <v>2691.7949999999996</v>
      </c>
      <c r="S19" s="29">
        <v>361.11500000000001</v>
      </c>
      <c r="T19" s="128">
        <f t="shared" si="7"/>
        <v>1008.26</v>
      </c>
      <c r="U19" s="157">
        <f t="shared" si="5"/>
        <v>98.37</v>
      </c>
      <c r="V19" s="129">
        <f t="shared" si="6"/>
        <v>1467.7449999999999</v>
      </c>
      <c r="X19" s="169"/>
    </row>
    <row r="20" spans="2:24" ht="18.75" x14ac:dyDescent="0.3">
      <c r="B20" s="138" t="s">
        <v>20</v>
      </c>
      <c r="C20" s="194"/>
      <c r="D20" s="133"/>
      <c r="E20" s="134">
        <f>SUM(E12:E19)</f>
        <v>53558.664999999994</v>
      </c>
      <c r="F20" s="134"/>
      <c r="G20" s="134">
        <f>+G19+G18+G17+G16+G12+G13+G14</f>
        <v>12763.58</v>
      </c>
      <c r="H20" s="134"/>
      <c r="I20" s="134">
        <f t="shared" ref="I20:V20" si="8">SUM(I12:I19)</f>
        <v>0</v>
      </c>
      <c r="J20" s="134">
        <f t="shared" si="8"/>
        <v>0</v>
      </c>
      <c r="K20" s="134">
        <f t="shared" si="8"/>
        <v>53558.664999999994</v>
      </c>
      <c r="L20" s="134">
        <f t="shared" ref="L20" si="9">SUM(L12:L19)</f>
        <v>0</v>
      </c>
      <c r="M20" s="134">
        <f>SUM(M12:M19)</f>
        <v>7163.17</v>
      </c>
      <c r="N20" s="134">
        <f t="shared" si="8"/>
        <v>6528.11</v>
      </c>
      <c r="O20" s="134">
        <f t="shared" si="8"/>
        <v>-0.25</v>
      </c>
      <c r="P20" s="134">
        <f>SUM(P12:P19)</f>
        <v>6159.2399999999989</v>
      </c>
      <c r="Q20" s="134">
        <f t="shared" si="8"/>
        <v>25450.68</v>
      </c>
      <c r="R20" s="135">
        <f>SUM(R12:R19)</f>
        <v>28107.985000000001</v>
      </c>
      <c r="S20" s="134">
        <f t="shared" si="8"/>
        <v>3225.1299999999992</v>
      </c>
      <c r="T20" s="134">
        <f t="shared" si="8"/>
        <v>10979.51</v>
      </c>
      <c r="U20" s="134">
        <f>SUM(U12:U19)</f>
        <v>1071.19</v>
      </c>
      <c r="V20" s="134">
        <f t="shared" si="8"/>
        <v>15275.829999999998</v>
      </c>
      <c r="X20" s="169"/>
    </row>
    <row r="21" spans="2:24" ht="18.75" hidden="1" x14ac:dyDescent="0.3">
      <c r="B21" s="138"/>
      <c r="C21" s="136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37"/>
      <c r="X21" s="169"/>
    </row>
    <row r="22" spans="2:24" ht="18.75" x14ac:dyDescent="0.3">
      <c r="B22" s="138" t="s">
        <v>31</v>
      </c>
      <c r="C22" s="132" t="s">
        <v>83</v>
      </c>
      <c r="E22" s="103"/>
      <c r="F22" s="103"/>
      <c r="G22" s="103"/>
      <c r="H22" s="103"/>
      <c r="I22" s="103"/>
      <c r="J22" s="103"/>
      <c r="K22" s="142"/>
      <c r="L22" s="142"/>
      <c r="M22" s="103"/>
      <c r="N22" s="103"/>
      <c r="O22" s="103"/>
      <c r="P22" s="103"/>
      <c r="Q22" s="103"/>
      <c r="R22" s="137"/>
      <c r="X22" s="169"/>
    </row>
    <row r="23" spans="2:24" ht="21" x14ac:dyDescent="0.35">
      <c r="B23" s="102" t="s">
        <v>63</v>
      </c>
      <c r="C23" s="125" t="s">
        <v>110</v>
      </c>
      <c r="D23" s="158" t="s">
        <v>132</v>
      </c>
      <c r="E23" s="103">
        <v>7000.8</v>
      </c>
      <c r="F23" s="126">
        <v>15</v>
      </c>
      <c r="G23" s="103"/>
      <c r="H23" s="103"/>
      <c r="I23" s="103"/>
      <c r="J23" s="103"/>
      <c r="K23" s="103">
        <f>E23-I23</f>
        <v>7000.8</v>
      </c>
      <c r="L23" s="103">
        <v>0</v>
      </c>
      <c r="M23" s="103">
        <v>948.11</v>
      </c>
      <c r="N23" s="103">
        <v>857.15</v>
      </c>
      <c r="O23" s="103">
        <v>-0.04</v>
      </c>
      <c r="P23" s="156">
        <f>ROUND(E23*0.115,2)</f>
        <v>805.09</v>
      </c>
      <c r="Q23" s="103">
        <f t="shared" ref="Q23:Q24" si="10">SUM(N23:P23)+G23</f>
        <v>1662.2</v>
      </c>
      <c r="R23" s="190">
        <f>K23-Q23</f>
        <v>5338.6</v>
      </c>
      <c r="S23" s="170">
        <v>410.61500000000001</v>
      </c>
      <c r="T23" s="128">
        <f t="shared" ref="T23:T26" si="11">ROUND(+E23*17.5%,2)+ROUND(E23*3%,2)</f>
        <v>1435.16</v>
      </c>
      <c r="U23" s="157">
        <f t="shared" ref="U23:U26" si="12">ROUND(+E23*2%,2)</f>
        <v>140.02000000000001</v>
      </c>
      <c r="V23" s="129">
        <f t="shared" ref="V23:V24" si="13">SUM(S23:U23)</f>
        <v>1985.7950000000001</v>
      </c>
      <c r="X23" s="169"/>
    </row>
    <row r="24" spans="2:24" ht="21" x14ac:dyDescent="0.35">
      <c r="B24" s="102" t="s">
        <v>112</v>
      </c>
      <c r="C24" s="125" t="s">
        <v>113</v>
      </c>
      <c r="D24" s="158" t="s">
        <v>133</v>
      </c>
      <c r="E24" s="103">
        <v>7000.8</v>
      </c>
      <c r="F24" s="126">
        <v>15</v>
      </c>
      <c r="G24" s="103"/>
      <c r="H24" s="103"/>
      <c r="I24" s="103"/>
      <c r="J24" s="103"/>
      <c r="K24" s="103">
        <f>E24-I24</f>
        <v>7000.8</v>
      </c>
      <c r="L24" s="103">
        <v>0</v>
      </c>
      <c r="M24" s="103">
        <v>948.11</v>
      </c>
      <c r="N24" s="103">
        <v>857.15</v>
      </c>
      <c r="O24" s="103">
        <v>0.16</v>
      </c>
      <c r="P24" s="156">
        <f>ROUND(E24*0.115,2)</f>
        <v>805.09</v>
      </c>
      <c r="Q24" s="103">
        <f t="shared" si="10"/>
        <v>1662.4</v>
      </c>
      <c r="R24" s="190">
        <f>K24-Q24</f>
        <v>5338.4</v>
      </c>
      <c r="S24" s="170">
        <v>410.61500000000001</v>
      </c>
      <c r="T24" s="128">
        <f t="shared" si="11"/>
        <v>1435.16</v>
      </c>
      <c r="U24" s="157">
        <f t="shared" si="12"/>
        <v>140.02000000000001</v>
      </c>
      <c r="V24" s="129">
        <f t="shared" si="13"/>
        <v>1985.7950000000001</v>
      </c>
      <c r="X24" s="169"/>
    </row>
    <row r="25" spans="2:24" ht="21" x14ac:dyDescent="0.35">
      <c r="B25" s="102" t="s">
        <v>64</v>
      </c>
      <c r="C25" s="125" t="s">
        <v>45</v>
      </c>
      <c r="D25" s="102" t="s">
        <v>122</v>
      </c>
      <c r="E25" s="103">
        <v>7000.8</v>
      </c>
      <c r="F25" s="126">
        <v>15</v>
      </c>
      <c r="G25" s="141"/>
      <c r="H25" s="103"/>
      <c r="I25" s="143"/>
      <c r="J25" s="103"/>
      <c r="K25" s="103">
        <f>E25-I25</f>
        <v>7000.8</v>
      </c>
      <c r="L25" s="103">
        <v>0</v>
      </c>
      <c r="M25" s="103">
        <v>948.11</v>
      </c>
      <c r="N25" s="103">
        <v>857.15</v>
      </c>
      <c r="O25" s="103">
        <v>0.16</v>
      </c>
      <c r="P25" s="156">
        <f>ROUND(E25*0.115,2)</f>
        <v>805.09</v>
      </c>
      <c r="Q25" s="103">
        <f>SUM(N25:P25)+G25</f>
        <v>1662.4</v>
      </c>
      <c r="R25" s="190">
        <f>K25-Q25</f>
        <v>5338.4</v>
      </c>
      <c r="S25" s="170">
        <v>410.61500000000001</v>
      </c>
      <c r="T25" s="128">
        <f t="shared" si="11"/>
        <v>1435.16</v>
      </c>
      <c r="U25" s="157">
        <f t="shared" si="12"/>
        <v>140.02000000000001</v>
      </c>
      <c r="V25" s="129">
        <f>SUM(S25:U25)</f>
        <v>1985.7950000000001</v>
      </c>
      <c r="X25" s="169"/>
    </row>
    <row r="26" spans="2:24" ht="21" x14ac:dyDescent="0.35">
      <c r="B26" s="102" t="s">
        <v>65</v>
      </c>
      <c r="C26" s="125" t="s">
        <v>59</v>
      </c>
      <c r="D26" s="158" t="s">
        <v>134</v>
      </c>
      <c r="E26" s="103">
        <v>7000.8</v>
      </c>
      <c r="F26" s="126">
        <v>15</v>
      </c>
      <c r="G26" s="193">
        <v>1189</v>
      </c>
      <c r="H26" s="130"/>
      <c r="I26" s="130"/>
      <c r="J26" s="103"/>
      <c r="K26" s="103">
        <f>E26-I26+H26</f>
        <v>7000.8</v>
      </c>
      <c r="L26" s="103">
        <v>0</v>
      </c>
      <c r="M26" s="103">
        <v>948.11</v>
      </c>
      <c r="N26" s="103">
        <v>857.15</v>
      </c>
      <c r="O26" s="103">
        <v>0.16</v>
      </c>
      <c r="P26" s="156">
        <f>ROUND(E26*0.115,2)</f>
        <v>805.09</v>
      </c>
      <c r="Q26" s="103">
        <f>SUM(N26:P26)+G26</f>
        <v>2851.4</v>
      </c>
      <c r="R26" s="190">
        <f>K26-Q26</f>
        <v>4149.3999999999996</v>
      </c>
      <c r="S26" s="170">
        <v>410.61500000000001</v>
      </c>
      <c r="T26" s="128">
        <f t="shared" si="11"/>
        <v>1435.16</v>
      </c>
      <c r="U26" s="157">
        <f t="shared" si="12"/>
        <v>140.02000000000001</v>
      </c>
      <c r="V26" s="129">
        <f>SUM(S26:U26)</f>
        <v>1985.7950000000001</v>
      </c>
      <c r="X26" s="169"/>
    </row>
    <row r="27" spans="2:24" ht="18.75" x14ac:dyDescent="0.3">
      <c r="B27" s="138" t="s">
        <v>20</v>
      </c>
      <c r="C27" s="132"/>
      <c r="D27" s="133"/>
      <c r="E27" s="134">
        <f>SUM(E23:E26)</f>
        <v>28003.200000000001</v>
      </c>
      <c r="F27" s="134"/>
      <c r="G27" s="134">
        <f>+G26+G25+G23+G24</f>
        <v>1189</v>
      </c>
      <c r="H27" s="134"/>
      <c r="I27" s="134">
        <f t="shared" ref="I27:N27" si="14">SUM(I23:I26)</f>
        <v>0</v>
      </c>
      <c r="J27" s="134">
        <f t="shared" si="14"/>
        <v>0</v>
      </c>
      <c r="K27" s="134">
        <f t="shared" si="14"/>
        <v>28003.200000000001</v>
      </c>
      <c r="L27" s="134">
        <f t="shared" ref="L27" si="15">SUM(L23:L26)</f>
        <v>0</v>
      </c>
      <c r="M27" s="134">
        <f>SUM(M23:M26)</f>
        <v>3792.44</v>
      </c>
      <c r="N27" s="134">
        <f t="shared" si="14"/>
        <v>3428.6</v>
      </c>
      <c r="O27" s="134">
        <f t="shared" ref="O27:Q27" si="16">SUM(O23:O26)</f>
        <v>0.44000000000000006</v>
      </c>
      <c r="P27" s="134">
        <f>SUM(P23:P26)</f>
        <v>3220.36</v>
      </c>
      <c r="Q27" s="134">
        <f t="shared" si="16"/>
        <v>7838.4</v>
      </c>
      <c r="R27" s="135">
        <f>SUM(R23:R26)</f>
        <v>20164.8</v>
      </c>
      <c r="S27" s="134">
        <f>SUM(S23:S26)</f>
        <v>1642.46</v>
      </c>
      <c r="T27" s="134">
        <f>SUM(T23:T26)</f>
        <v>5740.64</v>
      </c>
      <c r="U27" s="134">
        <f>SUM(U23:U26)</f>
        <v>560.08000000000004</v>
      </c>
      <c r="V27" s="134">
        <f>SUM(V23:V26)</f>
        <v>7943.18</v>
      </c>
      <c r="X27" s="169"/>
    </row>
    <row r="28" spans="2:24" ht="18.75" hidden="1" x14ac:dyDescent="0.3">
      <c r="C28" s="136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37"/>
      <c r="X28" s="169"/>
    </row>
    <row r="29" spans="2:24" ht="18.75" x14ac:dyDescent="0.3">
      <c r="B29" s="138" t="s">
        <v>33</v>
      </c>
      <c r="C29" s="132" t="s">
        <v>32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37"/>
      <c r="X29" s="169"/>
    </row>
    <row r="30" spans="2:24" ht="21" x14ac:dyDescent="0.35">
      <c r="B30" s="102" t="s">
        <v>66</v>
      </c>
      <c r="C30" s="125" t="s">
        <v>49</v>
      </c>
      <c r="D30" s="158" t="s">
        <v>128</v>
      </c>
      <c r="E30" s="103">
        <v>7000.8</v>
      </c>
      <c r="F30" s="126">
        <v>15</v>
      </c>
      <c r="G30" s="103"/>
      <c r="H30" s="103"/>
      <c r="I30" s="144"/>
      <c r="J30" s="103"/>
      <c r="K30" s="103">
        <f t="shared" ref="K30:K37" si="17">E30-I30</f>
        <v>7000.8</v>
      </c>
      <c r="L30" s="103">
        <v>0</v>
      </c>
      <c r="M30" s="103">
        <v>948.11</v>
      </c>
      <c r="N30" s="103">
        <v>857.15</v>
      </c>
      <c r="O30" s="103">
        <v>-0.04</v>
      </c>
      <c r="P30" s="156">
        <f>ROUND(E30*0.115,2)</f>
        <v>805.09</v>
      </c>
      <c r="Q30" s="103">
        <f t="shared" ref="Q30:Q40" si="18">SUM(N30:P30)+G30</f>
        <v>1662.2</v>
      </c>
      <c r="R30" s="190">
        <f t="shared" ref="R30:R38" si="19">K30-Q30</f>
        <v>5338.6</v>
      </c>
      <c r="S30" s="170">
        <v>410.61500000000001</v>
      </c>
      <c r="T30" s="128">
        <f t="shared" ref="T30:T40" si="20">ROUND(+E30*17.5%,2)+ROUND(E30*3%,2)</f>
        <v>1435.16</v>
      </c>
      <c r="U30" s="157">
        <f t="shared" ref="U30:U40" si="21">ROUND(+E30*2%,2)</f>
        <v>140.02000000000001</v>
      </c>
      <c r="V30" s="129">
        <f>SUM(S30:U30)</f>
        <v>1985.7950000000001</v>
      </c>
      <c r="X30" s="169"/>
    </row>
    <row r="31" spans="2:24" ht="21" x14ac:dyDescent="0.35">
      <c r="B31" s="102" t="s">
        <v>67</v>
      </c>
      <c r="C31" s="125" t="s">
        <v>51</v>
      </c>
      <c r="D31" s="158" t="s">
        <v>135</v>
      </c>
      <c r="E31" s="103">
        <v>7000.8</v>
      </c>
      <c r="F31" s="126">
        <v>15</v>
      </c>
      <c r="G31" s="141"/>
      <c r="H31" s="103"/>
      <c r="I31" s="130"/>
      <c r="J31" s="141"/>
      <c r="K31" s="141">
        <f t="shared" si="17"/>
        <v>7000.8</v>
      </c>
      <c r="L31" s="141">
        <v>0</v>
      </c>
      <c r="M31" s="103">
        <v>948.11</v>
      </c>
      <c r="N31" s="103">
        <v>857.15</v>
      </c>
      <c r="O31" s="103">
        <v>-0.04</v>
      </c>
      <c r="P31" s="156">
        <f t="shared" ref="P31:P40" si="22">ROUND(E31*0.115,2)</f>
        <v>805.09</v>
      </c>
      <c r="Q31" s="103">
        <f>SUM(N31:P31)+G31</f>
        <v>1662.2</v>
      </c>
      <c r="R31" s="190">
        <f t="shared" si="19"/>
        <v>5338.6</v>
      </c>
      <c r="S31" s="170">
        <v>410.61500000000001</v>
      </c>
      <c r="T31" s="128">
        <f t="shared" si="20"/>
        <v>1435.16</v>
      </c>
      <c r="U31" s="157">
        <f t="shared" si="21"/>
        <v>140.02000000000001</v>
      </c>
      <c r="V31" s="129">
        <f>SUM(S31:U31)</f>
        <v>1985.7950000000001</v>
      </c>
      <c r="X31" s="169"/>
    </row>
    <row r="32" spans="2:24" ht="21" x14ac:dyDescent="0.35">
      <c r="B32" s="102" t="s">
        <v>68</v>
      </c>
      <c r="C32" s="125" t="s">
        <v>48</v>
      </c>
      <c r="D32" s="102" t="s">
        <v>123</v>
      </c>
      <c r="E32" s="103">
        <v>7443.8</v>
      </c>
      <c r="F32" s="126">
        <v>15</v>
      </c>
      <c r="G32" s="103"/>
      <c r="H32" s="103"/>
      <c r="I32" s="130"/>
      <c r="J32" s="103"/>
      <c r="K32" s="103">
        <f t="shared" si="17"/>
        <v>7443.8</v>
      </c>
      <c r="L32" s="103">
        <v>0</v>
      </c>
      <c r="M32" s="103">
        <v>1042.73</v>
      </c>
      <c r="N32" s="103">
        <v>951.78</v>
      </c>
      <c r="O32" s="103">
        <v>-0.02</v>
      </c>
      <c r="P32" s="156">
        <f t="shared" si="22"/>
        <v>856.04</v>
      </c>
      <c r="Q32" s="103">
        <f t="shared" si="18"/>
        <v>1807.8</v>
      </c>
      <c r="R32" s="190">
        <f t="shared" si="19"/>
        <v>5636</v>
      </c>
      <c r="S32" s="170">
        <v>422.27</v>
      </c>
      <c r="T32" s="128">
        <f t="shared" si="20"/>
        <v>1525.98</v>
      </c>
      <c r="U32" s="157">
        <f>ROUND(+E32*2%,2)</f>
        <v>148.88</v>
      </c>
      <c r="V32" s="129">
        <f t="shared" ref="V32:V40" si="23">SUM(S32:U32)</f>
        <v>2097.13</v>
      </c>
      <c r="X32" s="169"/>
    </row>
    <row r="33" spans="2:24" ht="21" x14ac:dyDescent="0.35">
      <c r="B33" s="102" t="s">
        <v>77</v>
      </c>
      <c r="C33" s="125" t="s">
        <v>111</v>
      </c>
      <c r="D33" s="102" t="s">
        <v>127</v>
      </c>
      <c r="E33" s="103">
        <v>7000.8</v>
      </c>
      <c r="F33" s="126">
        <v>15</v>
      </c>
      <c r="G33" s="193">
        <v>1167</v>
      </c>
      <c r="H33" s="103"/>
      <c r="I33" s="144"/>
      <c r="J33" s="103"/>
      <c r="K33" s="103">
        <f>E33-I33</f>
        <v>7000.8</v>
      </c>
      <c r="L33" s="103">
        <v>0</v>
      </c>
      <c r="M33" s="103">
        <v>948.11</v>
      </c>
      <c r="N33" s="103">
        <v>857.15</v>
      </c>
      <c r="O33" s="103">
        <v>-0.04</v>
      </c>
      <c r="P33" s="156">
        <f t="shared" si="22"/>
        <v>805.09</v>
      </c>
      <c r="Q33" s="103">
        <f>SUM(N33:P33)+G33</f>
        <v>2829.2</v>
      </c>
      <c r="R33" s="190">
        <f>K33-Q33</f>
        <v>4171.6000000000004</v>
      </c>
      <c r="S33" s="170">
        <v>410.61500000000001</v>
      </c>
      <c r="T33" s="128">
        <f t="shared" si="20"/>
        <v>1435.16</v>
      </c>
      <c r="U33" s="157">
        <f t="shared" si="21"/>
        <v>140.02000000000001</v>
      </c>
      <c r="V33" s="129">
        <f t="shared" si="23"/>
        <v>1985.7950000000001</v>
      </c>
      <c r="X33" s="169"/>
    </row>
    <row r="34" spans="2:24" ht="21" x14ac:dyDescent="0.35">
      <c r="B34" s="102" t="s">
        <v>70</v>
      </c>
      <c r="C34" s="125" t="s">
        <v>46</v>
      </c>
      <c r="D34" s="102" t="s">
        <v>124</v>
      </c>
      <c r="E34" s="103">
        <v>7000.8</v>
      </c>
      <c r="F34" s="126">
        <v>15</v>
      </c>
      <c r="G34" s="193">
        <v>572.98</v>
      </c>
      <c r="H34" s="103"/>
      <c r="I34" s="139"/>
      <c r="J34" s="141"/>
      <c r="K34" s="141">
        <f t="shared" si="17"/>
        <v>7000.8</v>
      </c>
      <c r="L34" s="141">
        <v>0</v>
      </c>
      <c r="M34" s="103">
        <v>948.11</v>
      </c>
      <c r="N34" s="103">
        <v>857.15</v>
      </c>
      <c r="O34" s="103">
        <v>-0.02</v>
      </c>
      <c r="P34" s="156">
        <f t="shared" si="22"/>
        <v>805.09</v>
      </c>
      <c r="Q34" s="103">
        <f t="shared" si="18"/>
        <v>2235.1999999999998</v>
      </c>
      <c r="R34" s="190">
        <f t="shared" si="19"/>
        <v>4765.6000000000004</v>
      </c>
      <c r="S34" s="170">
        <v>410.61500000000001</v>
      </c>
      <c r="T34" s="128">
        <f t="shared" si="20"/>
        <v>1435.16</v>
      </c>
      <c r="U34" s="157">
        <f t="shared" si="21"/>
        <v>140.02000000000001</v>
      </c>
      <c r="V34" s="129">
        <f t="shared" si="23"/>
        <v>1985.7950000000001</v>
      </c>
      <c r="X34" s="169"/>
    </row>
    <row r="35" spans="2:24" ht="21" x14ac:dyDescent="0.35">
      <c r="B35" s="102" t="s">
        <v>71</v>
      </c>
      <c r="C35" s="125" t="s">
        <v>50</v>
      </c>
      <c r="D35" s="102" t="s">
        <v>124</v>
      </c>
      <c r="E35" s="103">
        <v>7000.8</v>
      </c>
      <c r="F35" s="126">
        <v>15</v>
      </c>
      <c r="G35" s="103"/>
      <c r="H35" s="141"/>
      <c r="I35" s="130"/>
      <c r="J35" s="141"/>
      <c r="K35" s="141">
        <f t="shared" si="17"/>
        <v>7000.8</v>
      </c>
      <c r="L35" s="141">
        <v>0</v>
      </c>
      <c r="M35" s="103">
        <v>948.11</v>
      </c>
      <c r="N35" s="103">
        <v>857.15</v>
      </c>
      <c r="O35" s="103">
        <v>-0.04</v>
      </c>
      <c r="P35" s="156">
        <f t="shared" si="22"/>
        <v>805.09</v>
      </c>
      <c r="Q35" s="103">
        <f t="shared" si="18"/>
        <v>1662.2</v>
      </c>
      <c r="R35" s="190">
        <f t="shared" si="19"/>
        <v>5338.6</v>
      </c>
      <c r="S35" s="170">
        <v>410.61500000000001</v>
      </c>
      <c r="T35" s="128">
        <f t="shared" si="20"/>
        <v>1435.16</v>
      </c>
      <c r="U35" s="157">
        <f t="shared" si="21"/>
        <v>140.02000000000001</v>
      </c>
      <c r="V35" s="129">
        <f t="shared" si="23"/>
        <v>1985.7950000000001</v>
      </c>
      <c r="X35" s="169"/>
    </row>
    <row r="36" spans="2:24" ht="21" x14ac:dyDescent="0.35">
      <c r="B36" s="102" t="s">
        <v>72</v>
      </c>
      <c r="C36" s="125" t="s">
        <v>52</v>
      </c>
      <c r="D36" s="102" t="s">
        <v>124</v>
      </c>
      <c r="E36" s="103">
        <v>7000.8</v>
      </c>
      <c r="F36" s="126">
        <v>15</v>
      </c>
      <c r="G36" s="103"/>
      <c r="H36" s="103"/>
      <c r="I36" s="139"/>
      <c r="J36" s="141"/>
      <c r="K36" s="141">
        <f t="shared" si="17"/>
        <v>7000.8</v>
      </c>
      <c r="L36" s="141">
        <v>0</v>
      </c>
      <c r="M36" s="103">
        <v>948.11</v>
      </c>
      <c r="N36" s="103">
        <v>857.15</v>
      </c>
      <c r="O36" s="103">
        <v>-0.04</v>
      </c>
      <c r="P36" s="156">
        <f t="shared" si="22"/>
        <v>805.09</v>
      </c>
      <c r="Q36" s="103">
        <f t="shared" si="18"/>
        <v>1662.2</v>
      </c>
      <c r="R36" s="190">
        <f t="shared" si="19"/>
        <v>5338.6</v>
      </c>
      <c r="S36" s="170">
        <v>410.61500000000001</v>
      </c>
      <c r="T36" s="128">
        <f t="shared" si="20"/>
        <v>1435.16</v>
      </c>
      <c r="U36" s="157">
        <f t="shared" si="21"/>
        <v>140.02000000000001</v>
      </c>
      <c r="V36" s="129">
        <f t="shared" si="23"/>
        <v>1985.7950000000001</v>
      </c>
      <c r="X36" s="169"/>
    </row>
    <row r="37" spans="2:24" ht="21" x14ac:dyDescent="0.35">
      <c r="B37" s="102" t="s">
        <v>73</v>
      </c>
      <c r="C37" s="125" t="s">
        <v>47</v>
      </c>
      <c r="D37" s="102" t="s">
        <v>125</v>
      </c>
      <c r="E37" s="103">
        <v>7000.8</v>
      </c>
      <c r="F37" s="126">
        <v>15</v>
      </c>
      <c r="G37" s="141"/>
      <c r="H37" s="103"/>
      <c r="I37" s="145"/>
      <c r="J37" s="103"/>
      <c r="K37" s="103">
        <f t="shared" si="17"/>
        <v>7000.8</v>
      </c>
      <c r="L37" s="103">
        <v>0</v>
      </c>
      <c r="M37" s="103">
        <v>948.11</v>
      </c>
      <c r="N37" s="103">
        <v>857.15</v>
      </c>
      <c r="O37" s="103">
        <v>-0.04</v>
      </c>
      <c r="P37" s="156">
        <f t="shared" si="22"/>
        <v>805.09</v>
      </c>
      <c r="Q37" s="103">
        <f>SUM(N37:P37)+G37</f>
        <v>1662.2</v>
      </c>
      <c r="R37" s="190">
        <f>K37-Q37</f>
        <v>5338.6</v>
      </c>
      <c r="S37" s="170">
        <v>410.61500000000001</v>
      </c>
      <c r="T37" s="128">
        <f t="shared" si="20"/>
        <v>1435.16</v>
      </c>
      <c r="U37" s="157">
        <f t="shared" si="21"/>
        <v>140.02000000000001</v>
      </c>
      <c r="V37" s="129">
        <f t="shared" si="23"/>
        <v>1985.7950000000001</v>
      </c>
      <c r="X37" s="169"/>
    </row>
    <row r="38" spans="2:24" ht="21" x14ac:dyDescent="0.35">
      <c r="B38" s="102" t="s">
        <v>74</v>
      </c>
      <c r="C38" s="125" t="s">
        <v>53</v>
      </c>
      <c r="D38" s="102" t="s">
        <v>125</v>
      </c>
      <c r="E38" s="103">
        <v>7000.8</v>
      </c>
      <c r="F38" s="126">
        <v>15</v>
      </c>
      <c r="G38" s="193">
        <v>1500</v>
      </c>
      <c r="H38" s="103"/>
      <c r="I38" s="139"/>
      <c r="J38" s="103"/>
      <c r="K38" s="103">
        <f>E38-I38</f>
        <v>7000.8</v>
      </c>
      <c r="L38" s="103">
        <v>0</v>
      </c>
      <c r="M38" s="103">
        <v>948.11</v>
      </c>
      <c r="N38" s="103">
        <v>857.15</v>
      </c>
      <c r="O38" s="103">
        <v>0.16</v>
      </c>
      <c r="P38" s="156">
        <f t="shared" si="22"/>
        <v>805.09</v>
      </c>
      <c r="Q38" s="103">
        <f>SUM(N38:P38)+G38</f>
        <v>3162.4</v>
      </c>
      <c r="R38" s="190">
        <f t="shared" si="19"/>
        <v>3838.4</v>
      </c>
      <c r="S38" s="170">
        <v>410.61500000000001</v>
      </c>
      <c r="T38" s="128">
        <f t="shared" si="20"/>
        <v>1435.16</v>
      </c>
      <c r="U38" s="157">
        <f t="shared" si="21"/>
        <v>140.02000000000001</v>
      </c>
      <c r="V38" s="129">
        <f t="shared" si="23"/>
        <v>1985.7950000000001</v>
      </c>
      <c r="X38" s="169"/>
    </row>
    <row r="39" spans="2:24" ht="21" x14ac:dyDescent="0.35">
      <c r="B39" s="102" t="s">
        <v>75</v>
      </c>
      <c r="C39" s="125" t="s">
        <v>39</v>
      </c>
      <c r="D39" s="102" t="s">
        <v>126</v>
      </c>
      <c r="E39" s="103">
        <v>7000.8</v>
      </c>
      <c r="F39" s="126">
        <v>15</v>
      </c>
      <c r="G39" s="141"/>
      <c r="H39" s="103"/>
      <c r="I39" s="144"/>
      <c r="J39" s="103"/>
      <c r="K39" s="103">
        <f>E39-I39</f>
        <v>7000.8</v>
      </c>
      <c r="L39" s="103">
        <v>0</v>
      </c>
      <c r="M39" s="103">
        <v>948.11</v>
      </c>
      <c r="N39" s="103">
        <v>857.15</v>
      </c>
      <c r="O39" s="103">
        <v>-0.04</v>
      </c>
      <c r="P39" s="156">
        <f t="shared" si="22"/>
        <v>805.09</v>
      </c>
      <c r="Q39" s="103">
        <f>SUM(N39:P39)+G39</f>
        <v>1662.2</v>
      </c>
      <c r="R39" s="190">
        <f>K39-Q39</f>
        <v>5338.6</v>
      </c>
      <c r="S39" s="170">
        <v>410.61500000000001</v>
      </c>
      <c r="T39" s="128">
        <f t="shared" si="20"/>
        <v>1435.16</v>
      </c>
      <c r="U39" s="157">
        <f t="shared" si="21"/>
        <v>140.02000000000001</v>
      </c>
      <c r="V39" s="129">
        <f t="shared" si="23"/>
        <v>1985.7950000000001</v>
      </c>
      <c r="X39" s="169"/>
    </row>
    <row r="40" spans="2:24" ht="21" x14ac:dyDescent="0.35">
      <c r="B40" s="102" t="s">
        <v>76</v>
      </c>
      <c r="C40" s="125" t="s">
        <v>54</v>
      </c>
      <c r="D40" s="102" t="s">
        <v>126</v>
      </c>
      <c r="E40" s="103">
        <v>7000.8</v>
      </c>
      <c r="F40" s="126">
        <v>15</v>
      </c>
      <c r="G40" s="193">
        <v>1910</v>
      </c>
      <c r="H40" s="103"/>
      <c r="I40" s="144"/>
      <c r="J40" s="103"/>
      <c r="K40" s="103">
        <f>E40-I40</f>
        <v>7000.8</v>
      </c>
      <c r="L40" s="103">
        <v>0</v>
      </c>
      <c r="M40" s="103">
        <v>948.11</v>
      </c>
      <c r="N40" s="103">
        <v>857.15</v>
      </c>
      <c r="O40" s="103">
        <v>-0.04</v>
      </c>
      <c r="P40" s="156">
        <f t="shared" si="22"/>
        <v>805.09</v>
      </c>
      <c r="Q40" s="103">
        <f t="shared" si="18"/>
        <v>3572.2</v>
      </c>
      <c r="R40" s="190">
        <f>K40-Q40</f>
        <v>3428.6000000000004</v>
      </c>
      <c r="S40" s="170">
        <v>410.61500000000001</v>
      </c>
      <c r="T40" s="128">
        <f t="shared" si="20"/>
        <v>1435.16</v>
      </c>
      <c r="U40" s="157">
        <f t="shared" si="21"/>
        <v>140.02000000000001</v>
      </c>
      <c r="V40" s="129">
        <f t="shared" si="23"/>
        <v>1985.7950000000001</v>
      </c>
      <c r="X40" s="169"/>
    </row>
    <row r="41" spans="2:24" ht="18.75" x14ac:dyDescent="0.3">
      <c r="B41" s="138" t="s">
        <v>20</v>
      </c>
      <c r="C41" s="132"/>
      <c r="D41" s="133"/>
      <c r="E41" s="134">
        <f>SUM(E30:E40)</f>
        <v>77451.800000000017</v>
      </c>
      <c r="F41" s="134"/>
      <c r="G41" s="134">
        <f>+G40+G39+G38+G37+G36+G35+G34+G31+G33</f>
        <v>5149.9799999999996</v>
      </c>
      <c r="H41" s="134"/>
      <c r="I41" s="134">
        <f>SUM(I30:I40)</f>
        <v>0</v>
      </c>
      <c r="J41" s="134">
        <f t="shared" ref="J41:V41" si="24">SUM(J30:J40)</f>
        <v>0</v>
      </c>
      <c r="K41" s="134">
        <f>SUM(K30:K40)</f>
        <v>77451.800000000017</v>
      </c>
      <c r="L41" s="134">
        <f>SUM(L30:L40)</f>
        <v>0</v>
      </c>
      <c r="M41" s="134">
        <f>SUM(M30:M40)</f>
        <v>10523.83</v>
      </c>
      <c r="N41" s="134">
        <f>SUM(N30:N40)</f>
        <v>9523.2799999999988</v>
      </c>
      <c r="O41" s="134">
        <f t="shared" si="24"/>
        <v>-0.20000000000000004</v>
      </c>
      <c r="P41" s="134">
        <f>SUM(P30:P40)</f>
        <v>8906.94</v>
      </c>
      <c r="Q41" s="134">
        <f t="shared" si="24"/>
        <v>23580.000000000004</v>
      </c>
      <c r="R41" s="135">
        <f t="shared" si="24"/>
        <v>53871.799999999996</v>
      </c>
      <c r="S41" s="134">
        <f t="shared" si="24"/>
        <v>4528.4199999999992</v>
      </c>
      <c r="T41" s="134">
        <f t="shared" si="24"/>
        <v>15877.58</v>
      </c>
      <c r="U41" s="134">
        <f>SUM(U30:U40)</f>
        <v>1549.08</v>
      </c>
      <c r="V41" s="134">
        <f t="shared" si="24"/>
        <v>21955.08</v>
      </c>
      <c r="X41" s="169"/>
    </row>
    <row r="42" spans="2:24" ht="18.75" hidden="1" x14ac:dyDescent="0.3">
      <c r="C42" s="136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37"/>
      <c r="X42" s="169"/>
    </row>
    <row r="43" spans="2:24" ht="18.75" x14ac:dyDescent="0.3">
      <c r="B43" s="138" t="s">
        <v>78</v>
      </c>
      <c r="C43" s="132" t="s">
        <v>34</v>
      </c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37"/>
      <c r="X43" s="169"/>
    </row>
    <row r="44" spans="2:24" ht="21" x14ac:dyDescent="0.35">
      <c r="B44" s="102" t="s">
        <v>69</v>
      </c>
      <c r="C44" s="125" t="s">
        <v>55</v>
      </c>
      <c r="D44" s="102" t="s">
        <v>130</v>
      </c>
      <c r="E44" s="103">
        <v>7443.8</v>
      </c>
      <c r="F44" s="126">
        <v>15</v>
      </c>
      <c r="G44" s="137"/>
      <c r="H44" s="103"/>
      <c r="I44" s="144"/>
      <c r="J44" s="141"/>
      <c r="K44" s="141">
        <f t="shared" ref="K44" si="25">E44-I44</f>
        <v>7443.8</v>
      </c>
      <c r="L44" s="141">
        <v>0</v>
      </c>
      <c r="M44" s="103">
        <v>1042.73</v>
      </c>
      <c r="N44" s="103">
        <v>951.78</v>
      </c>
      <c r="O44" s="103">
        <v>-0.02</v>
      </c>
      <c r="P44" s="156">
        <f t="shared" ref="P44:P46" si="26">ROUND(E44*0.115,2)</f>
        <v>856.04</v>
      </c>
      <c r="Q44" s="103">
        <f t="shared" ref="Q44" si="27">SUM(N44:P44)+G44</f>
        <v>1807.8</v>
      </c>
      <c r="R44" s="190">
        <f t="shared" ref="R44" si="28">K44-Q44</f>
        <v>5636</v>
      </c>
      <c r="S44" s="170">
        <v>422.27</v>
      </c>
      <c r="T44" s="128">
        <f t="shared" ref="T44:T46" si="29">ROUND(+E44*17.5%,2)+ROUND(E44*3%,2)</f>
        <v>1525.98</v>
      </c>
      <c r="U44" s="157">
        <f t="shared" ref="U44:U46" si="30">ROUND(+E44*2%,2)</f>
        <v>148.88</v>
      </c>
      <c r="V44" s="129">
        <f t="shared" ref="V44:V46" si="31">SUM(S44:U44)</f>
        <v>2097.13</v>
      </c>
      <c r="X44" s="169"/>
    </row>
    <row r="45" spans="2:24" ht="21" x14ac:dyDescent="0.35">
      <c r="B45" s="102" t="s">
        <v>81</v>
      </c>
      <c r="C45" s="125" t="s">
        <v>44</v>
      </c>
      <c r="D45" s="102" t="s">
        <v>128</v>
      </c>
      <c r="E45" s="103">
        <v>7000.8</v>
      </c>
      <c r="F45" s="126">
        <v>15</v>
      </c>
      <c r="G45" s="193">
        <v>1171.28</v>
      </c>
      <c r="H45" s="103"/>
      <c r="I45" s="144"/>
      <c r="J45" s="103"/>
      <c r="K45" s="103">
        <f>E45-I45</f>
        <v>7000.8</v>
      </c>
      <c r="L45" s="103">
        <v>0</v>
      </c>
      <c r="M45" s="103">
        <v>948.11</v>
      </c>
      <c r="N45" s="103">
        <v>857.15</v>
      </c>
      <c r="O45" s="103">
        <v>0.08</v>
      </c>
      <c r="P45" s="156">
        <f t="shared" si="26"/>
        <v>805.09</v>
      </c>
      <c r="Q45" s="103">
        <f>SUM(N45:P45)+G45</f>
        <v>2833.6000000000004</v>
      </c>
      <c r="R45" s="190">
        <f>K45-Q45</f>
        <v>4167.2</v>
      </c>
      <c r="S45" s="170">
        <v>410.61500000000001</v>
      </c>
      <c r="T45" s="128">
        <f t="shared" si="29"/>
        <v>1435.16</v>
      </c>
      <c r="U45" s="157">
        <f t="shared" si="30"/>
        <v>140.02000000000001</v>
      </c>
      <c r="V45" s="129">
        <f t="shared" si="31"/>
        <v>1985.7950000000001</v>
      </c>
      <c r="X45" s="169"/>
    </row>
    <row r="46" spans="2:24" ht="21" x14ac:dyDescent="0.35">
      <c r="B46" s="102" t="s">
        <v>107</v>
      </c>
      <c r="C46" s="125" t="s">
        <v>108</v>
      </c>
      <c r="D46" s="102" t="s">
        <v>109</v>
      </c>
      <c r="E46" s="103">
        <v>7000.8</v>
      </c>
      <c r="F46" s="126">
        <v>15</v>
      </c>
      <c r="G46" s="103"/>
      <c r="H46" s="103"/>
      <c r="I46" s="103"/>
      <c r="J46" s="103"/>
      <c r="K46" s="103">
        <f>E46-I46</f>
        <v>7000.8</v>
      </c>
      <c r="L46" s="103">
        <v>0</v>
      </c>
      <c r="M46" s="103">
        <v>948.11</v>
      </c>
      <c r="N46" s="103">
        <v>857.15</v>
      </c>
      <c r="O46" s="103">
        <v>0.16</v>
      </c>
      <c r="P46" s="156">
        <f t="shared" si="26"/>
        <v>805.09</v>
      </c>
      <c r="Q46" s="103">
        <f>SUM(N46:P46)+G46</f>
        <v>1662.4</v>
      </c>
      <c r="R46" s="190">
        <f>K46-Q46</f>
        <v>5338.4</v>
      </c>
      <c r="S46" s="170">
        <v>410.61500000000001</v>
      </c>
      <c r="T46" s="128">
        <f t="shared" si="29"/>
        <v>1435.16</v>
      </c>
      <c r="U46" s="157">
        <f t="shared" si="30"/>
        <v>140.02000000000001</v>
      </c>
      <c r="V46" s="129">
        <f t="shared" si="31"/>
        <v>1985.7950000000001</v>
      </c>
      <c r="X46" s="169"/>
    </row>
    <row r="47" spans="2:24" ht="18.75" x14ac:dyDescent="0.3">
      <c r="B47" s="138" t="s">
        <v>20</v>
      </c>
      <c r="C47" s="132"/>
      <c r="D47" s="133"/>
      <c r="E47" s="134">
        <f>E44+E45+E46</f>
        <v>21445.4</v>
      </c>
      <c r="F47" s="134"/>
      <c r="G47" s="134">
        <f t="shared" ref="G47:V47" si="32">G44+G45+G46</f>
        <v>1171.28</v>
      </c>
      <c r="H47" s="134">
        <f t="shared" si="32"/>
        <v>0</v>
      </c>
      <c r="I47" s="134">
        <f>I44+I45+I46</f>
        <v>0</v>
      </c>
      <c r="J47" s="134">
        <f t="shared" si="32"/>
        <v>0</v>
      </c>
      <c r="K47" s="134">
        <f>K44+K45+K46</f>
        <v>21445.4</v>
      </c>
      <c r="L47" s="134">
        <f t="shared" ref="L47:M47" si="33">L44+L45+L46</f>
        <v>0</v>
      </c>
      <c r="M47" s="134">
        <f t="shared" si="33"/>
        <v>2938.9500000000003</v>
      </c>
      <c r="N47" s="134">
        <f>N44+N45+N46</f>
        <v>2666.08</v>
      </c>
      <c r="O47" s="134">
        <f t="shared" si="32"/>
        <v>0.22</v>
      </c>
      <c r="P47" s="134">
        <f>P44+P45+P46</f>
        <v>2466.2200000000003</v>
      </c>
      <c r="Q47" s="134">
        <f t="shared" si="32"/>
        <v>6303.8000000000011</v>
      </c>
      <c r="R47" s="135">
        <f t="shared" si="32"/>
        <v>15141.6</v>
      </c>
      <c r="S47" s="134">
        <f t="shared" si="32"/>
        <v>1243.5</v>
      </c>
      <c r="T47" s="134">
        <f t="shared" si="32"/>
        <v>4396.3</v>
      </c>
      <c r="U47" s="134">
        <f>U44+U45+U46</f>
        <v>428.91999999999996</v>
      </c>
      <c r="V47" s="134">
        <f t="shared" si="32"/>
        <v>6068.72</v>
      </c>
      <c r="X47" s="169"/>
    </row>
    <row r="48" spans="2:24" ht="18.75" hidden="1" x14ac:dyDescent="0.3">
      <c r="B48" s="138"/>
      <c r="C48" s="136"/>
      <c r="E48" s="103"/>
      <c r="F48" s="103"/>
      <c r="G48" s="103"/>
      <c r="H48" s="103"/>
      <c r="I48" s="103"/>
      <c r="J48" s="103"/>
      <c r="K48" s="146"/>
      <c r="L48" s="146"/>
      <c r="M48" s="146"/>
      <c r="N48" s="146"/>
      <c r="O48" s="146"/>
      <c r="P48" s="146"/>
      <c r="Q48" s="146"/>
      <c r="R48" s="147"/>
      <c r="S48" s="148"/>
      <c r="T48" s="148"/>
      <c r="U48" s="148"/>
      <c r="V48" s="148"/>
      <c r="X48" s="169"/>
    </row>
    <row r="49" spans="2:24" ht="18.75" x14ac:dyDescent="0.3">
      <c r="B49" s="138" t="s">
        <v>84</v>
      </c>
      <c r="C49" s="132" t="s">
        <v>85</v>
      </c>
      <c r="E49" s="103"/>
      <c r="F49" s="103"/>
      <c r="G49" s="103"/>
      <c r="H49" s="103"/>
      <c r="I49" s="103"/>
      <c r="J49" s="103"/>
      <c r="K49" s="146"/>
      <c r="L49" s="146"/>
      <c r="M49" s="146"/>
      <c r="N49" s="146"/>
      <c r="O49" s="146"/>
      <c r="P49" s="146"/>
      <c r="Q49" s="146"/>
      <c r="R49" s="147"/>
      <c r="S49" s="148"/>
      <c r="T49" s="148"/>
      <c r="U49" s="148"/>
      <c r="V49" s="148"/>
      <c r="X49" s="169"/>
    </row>
    <row r="50" spans="2:24" ht="21" x14ac:dyDescent="0.35">
      <c r="B50" s="102" t="s">
        <v>86</v>
      </c>
      <c r="C50" s="125" t="s">
        <v>30</v>
      </c>
      <c r="D50" s="102" t="s">
        <v>114</v>
      </c>
      <c r="E50" s="103">
        <v>13000</v>
      </c>
      <c r="F50" s="126">
        <v>15</v>
      </c>
      <c r="G50" s="193">
        <v>6083.14</v>
      </c>
      <c r="H50" s="103"/>
      <c r="I50" s="103"/>
      <c r="J50" s="103"/>
      <c r="K50" s="103">
        <f>E50-I50</f>
        <v>13000</v>
      </c>
      <c r="L50" s="103">
        <v>0</v>
      </c>
      <c r="M50" s="103">
        <v>2288.9699999999998</v>
      </c>
      <c r="N50" s="103">
        <v>2161.23</v>
      </c>
      <c r="O50" s="103">
        <v>0.03</v>
      </c>
      <c r="P50" s="156">
        <f>ROUND(E50*0.115,2)</f>
        <v>1495</v>
      </c>
      <c r="Q50" s="103">
        <f>SUM(N50:P50)+G50</f>
        <v>9739.4000000000015</v>
      </c>
      <c r="R50" s="190">
        <f>K50-Q50</f>
        <v>3260.5999999999985</v>
      </c>
      <c r="S50" s="170">
        <v>571.58500000000004</v>
      </c>
      <c r="T50" s="128">
        <f t="shared" ref="T50" si="34">ROUND(+E50*17.5%,2)+ROUND(E50*3%,2)</f>
        <v>2665</v>
      </c>
      <c r="U50" s="157">
        <f>ROUND(+E50*2%,2)</f>
        <v>260</v>
      </c>
      <c r="V50" s="129">
        <f t="shared" ref="V50" si="35">SUM(S50:U50)</f>
        <v>3496.585</v>
      </c>
      <c r="X50" s="169"/>
    </row>
    <row r="51" spans="2:24" ht="18.75" x14ac:dyDescent="0.3">
      <c r="B51" s="138" t="s">
        <v>20</v>
      </c>
      <c r="E51" s="134">
        <f>E50</f>
        <v>13000</v>
      </c>
      <c r="F51" s="134"/>
      <c r="G51" s="134">
        <f>+G50</f>
        <v>6083.14</v>
      </c>
      <c r="H51" s="134"/>
      <c r="I51" s="134">
        <f>I50</f>
        <v>0</v>
      </c>
      <c r="J51" s="134">
        <f>J50</f>
        <v>0</v>
      </c>
      <c r="K51" s="134">
        <f>K50</f>
        <v>13000</v>
      </c>
      <c r="L51" s="134">
        <f t="shared" ref="L51:V51" si="36">L50</f>
        <v>0</v>
      </c>
      <c r="M51" s="134">
        <f t="shared" si="36"/>
        <v>2288.9699999999998</v>
      </c>
      <c r="N51" s="134">
        <f t="shared" si="36"/>
        <v>2161.23</v>
      </c>
      <c r="O51" s="134">
        <f t="shared" si="36"/>
        <v>0.03</v>
      </c>
      <c r="P51" s="134">
        <f>P50</f>
        <v>1495</v>
      </c>
      <c r="Q51" s="134">
        <f t="shared" si="36"/>
        <v>9739.4000000000015</v>
      </c>
      <c r="R51" s="135">
        <f>R50</f>
        <v>3260.5999999999985</v>
      </c>
      <c r="S51" s="134">
        <f t="shared" si="36"/>
        <v>571.58500000000004</v>
      </c>
      <c r="T51" s="134">
        <f t="shared" si="36"/>
        <v>2665</v>
      </c>
      <c r="U51" s="134">
        <f>U50</f>
        <v>260</v>
      </c>
      <c r="V51" s="134">
        <f t="shared" si="36"/>
        <v>3496.585</v>
      </c>
      <c r="X51" s="169"/>
    </row>
    <row r="52" spans="2:24" ht="12" customHeight="1" x14ac:dyDescent="0.3">
      <c r="B52" s="138"/>
      <c r="E52" s="103"/>
      <c r="F52" s="103"/>
      <c r="G52" s="103"/>
      <c r="H52" s="103"/>
      <c r="I52" s="103"/>
      <c r="J52" s="103"/>
      <c r="K52" s="146"/>
      <c r="L52" s="146"/>
      <c r="M52" s="146"/>
      <c r="N52" s="146"/>
      <c r="O52" s="146"/>
      <c r="P52" s="146"/>
      <c r="Q52" s="146"/>
      <c r="R52" s="147"/>
      <c r="S52" s="148"/>
      <c r="T52" s="148"/>
      <c r="U52" s="148"/>
      <c r="V52" s="148"/>
    </row>
    <row r="53" spans="2:24" ht="18.75" hidden="1" x14ac:dyDescent="0.3">
      <c r="R53" s="149"/>
    </row>
    <row r="54" spans="2:24" ht="18.75" x14ac:dyDescent="0.3">
      <c r="C54" s="150" t="s">
        <v>56</v>
      </c>
      <c r="E54" s="151">
        <f>E9+E20+E27+E41+E47+E51</f>
        <v>219167.75999999998</v>
      </c>
      <c r="F54" s="151"/>
      <c r="G54" s="152">
        <f>G9+G20+G27+G41+G47+G51</f>
        <v>27356.979999999996</v>
      </c>
      <c r="H54" s="151"/>
      <c r="I54" s="151">
        <f t="shared" ref="I54:V54" si="37">I9+I20+I27+I41+I47+I51</f>
        <v>0</v>
      </c>
      <c r="J54" s="151">
        <f t="shared" si="37"/>
        <v>0</v>
      </c>
      <c r="K54" s="151">
        <f t="shared" si="37"/>
        <v>219167.75999999998</v>
      </c>
      <c r="L54" s="151">
        <f t="shared" si="37"/>
        <v>0</v>
      </c>
      <c r="M54" s="151">
        <f t="shared" si="37"/>
        <v>31517.59</v>
      </c>
      <c r="N54" s="151">
        <f t="shared" si="37"/>
        <v>28724.859999999997</v>
      </c>
      <c r="O54" s="151">
        <f t="shared" si="37"/>
        <v>7.9999999999999988E-2</v>
      </c>
      <c r="P54" s="152">
        <f>P9+P20+P27+P41+P47+P51</f>
        <v>25204.260000000002</v>
      </c>
      <c r="Q54" s="151">
        <f t="shared" si="37"/>
        <v>81286.180000000022</v>
      </c>
      <c r="R54" s="153">
        <f t="shared" si="37"/>
        <v>137881.58000000002</v>
      </c>
      <c r="S54" s="151">
        <f t="shared" si="37"/>
        <v>12382.499999999996</v>
      </c>
      <c r="T54" s="151">
        <f>T51+T47+T41+T27+T20+T9</f>
        <v>44929.312474999999</v>
      </c>
      <c r="U54" s="152">
        <f>U9+U20+U27+U41+U47+U51</f>
        <v>4383.45</v>
      </c>
      <c r="V54" s="154">
        <f t="shared" si="37"/>
        <v>61695.262475000003</v>
      </c>
    </row>
    <row r="55" spans="2:24" ht="18.75" x14ac:dyDescent="0.3">
      <c r="S55" s="151"/>
      <c r="T55" s="151"/>
    </row>
    <row r="56" spans="2:24" x14ac:dyDescent="0.25">
      <c r="T56" s="103"/>
      <c r="X56" s="169"/>
    </row>
    <row r="63" spans="2:24" ht="16.5" thickBot="1" x14ac:dyDescent="0.3">
      <c r="E63" s="293"/>
      <c r="F63" s="293"/>
      <c r="G63" s="191"/>
      <c r="H63" s="191"/>
      <c r="P63" s="294"/>
      <c r="Q63" s="294"/>
    </row>
    <row r="64" spans="2:24" ht="15" x14ac:dyDescent="0.25">
      <c r="E64" s="295" t="s">
        <v>91</v>
      </c>
      <c r="F64" s="295"/>
      <c r="G64" s="192"/>
      <c r="H64" s="192"/>
      <c r="P64" s="155"/>
      <c r="Q64" s="155"/>
      <c r="R64" s="296" t="s">
        <v>82</v>
      </c>
      <c r="S64" s="296"/>
      <c r="T64" s="191"/>
    </row>
    <row r="68" spans="3:3" x14ac:dyDescent="0.25">
      <c r="C68" s="102" t="s">
        <v>90</v>
      </c>
    </row>
  </sheetData>
  <mergeCells count="5">
    <mergeCell ref="B4:V4"/>
    <mergeCell ref="E63:F63"/>
    <mergeCell ref="P63:Q63"/>
    <mergeCell ref="E64:F64"/>
    <mergeCell ref="R64:S64"/>
  </mergeCells>
  <pageMargins left="0.51181102362204722" right="0.51181102362204722" top="0.15748031496062992" bottom="0.35433070866141736" header="0.31496062992125984" footer="0.31496062992125984"/>
  <pageSetup scale="4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B3A8F-2C6D-44BB-A0E7-DD36DFF1D6EF}">
  <sheetPr>
    <pageSetUpPr fitToPage="1"/>
  </sheetPr>
  <dimension ref="B3:X75"/>
  <sheetViews>
    <sheetView topLeftCell="A44" zoomScale="85" zoomScaleNormal="85" workbookViewId="0">
      <selection activeCell="C51" sqref="C51"/>
    </sheetView>
  </sheetViews>
  <sheetFormatPr baseColWidth="10" defaultRowHeight="15.75" x14ac:dyDescent="0.25"/>
  <cols>
    <col min="1" max="1" width="4.28515625" style="102" customWidth="1"/>
    <col min="2" max="2" width="17.140625" style="102" customWidth="1"/>
    <col min="3" max="3" width="36.5703125" style="102" customWidth="1"/>
    <col min="4" max="4" width="28" style="102" customWidth="1"/>
    <col min="5" max="5" width="18.42578125" style="102" customWidth="1"/>
    <col min="6" max="6" width="12.7109375" style="102" customWidth="1"/>
    <col min="7" max="7" width="14.42578125" style="102" bestFit="1" customWidth="1"/>
    <col min="8" max="8" width="14.140625" style="102" hidden="1" customWidth="1"/>
    <col min="9" max="9" width="13.28515625" style="102" customWidth="1"/>
    <col min="10" max="10" width="13.28515625" style="102" hidden="1" customWidth="1"/>
    <col min="11" max="11" width="15.85546875" style="102" bestFit="1" customWidth="1"/>
    <col min="12" max="12" width="9.42578125" style="102" hidden="1" customWidth="1"/>
    <col min="13" max="13" width="14.42578125" style="102" hidden="1" customWidth="1"/>
    <col min="14" max="14" width="15.85546875" style="102" bestFit="1" customWidth="1"/>
    <col min="15" max="15" width="11.140625" style="102" bestFit="1" customWidth="1"/>
    <col min="16" max="16" width="14.42578125" style="102" bestFit="1" customWidth="1"/>
    <col min="17" max="17" width="16.5703125" style="102" customWidth="1"/>
    <col min="18" max="18" width="16.7109375" style="136" customWidth="1"/>
    <col min="19" max="20" width="16.140625" style="102" customWidth="1"/>
    <col min="21" max="21" width="14.85546875" style="102" customWidth="1"/>
    <col min="22" max="22" width="17" style="102" customWidth="1"/>
    <col min="23" max="16384" width="11.42578125" style="102"/>
  </cols>
  <sheetData>
    <row r="3" spans="2:24" x14ac:dyDescent="0.25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2:24" ht="16.5" customHeight="1" x14ac:dyDescent="0.25">
      <c r="B4" s="291" t="s">
        <v>163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2:24" s="120" customFormat="1" ht="56.25" x14ac:dyDescent="0.25">
      <c r="B5" s="105" t="s">
        <v>5</v>
      </c>
      <c r="C5" s="106" t="s">
        <v>6</v>
      </c>
      <c r="D5" s="107" t="s">
        <v>0</v>
      </c>
      <c r="E5" s="108" t="s">
        <v>7</v>
      </c>
      <c r="F5" s="109" t="s">
        <v>80</v>
      </c>
      <c r="G5" s="110" t="s">
        <v>93</v>
      </c>
      <c r="H5" s="111" t="s">
        <v>94</v>
      </c>
      <c r="I5" s="2" t="s">
        <v>148</v>
      </c>
      <c r="J5" s="107" t="s">
        <v>88</v>
      </c>
      <c r="K5" s="107" t="s">
        <v>8</v>
      </c>
      <c r="L5" s="113" t="s">
        <v>57</v>
      </c>
      <c r="M5" s="109" t="s">
        <v>79</v>
      </c>
      <c r="N5" s="109" t="s">
        <v>9</v>
      </c>
      <c r="O5" s="3" t="s">
        <v>141</v>
      </c>
      <c r="P5" s="115" t="s">
        <v>10</v>
      </c>
      <c r="Q5" s="116" t="s">
        <v>11</v>
      </c>
      <c r="R5" s="117" t="s">
        <v>35</v>
      </c>
      <c r="S5" s="113" t="s">
        <v>4</v>
      </c>
      <c r="T5" s="113" t="s">
        <v>106</v>
      </c>
      <c r="U5" s="118" t="s">
        <v>12</v>
      </c>
      <c r="V5" s="118" t="s">
        <v>36</v>
      </c>
      <c r="W5" s="119"/>
    </row>
    <row r="6" spans="2:24" x14ac:dyDescent="0.25">
      <c r="B6" s="121" t="s">
        <v>13</v>
      </c>
      <c r="C6" s="5" t="s">
        <v>14</v>
      </c>
      <c r="D6" s="122"/>
      <c r="E6" s="123"/>
      <c r="F6" s="103"/>
      <c r="G6" s="124"/>
      <c r="H6" s="103"/>
      <c r="I6" s="123"/>
      <c r="J6" s="123"/>
      <c r="K6" s="123"/>
      <c r="L6" s="103"/>
      <c r="M6" s="103"/>
      <c r="N6" s="103"/>
      <c r="O6" s="123"/>
      <c r="P6" s="103"/>
      <c r="Q6" s="123"/>
      <c r="R6" s="104"/>
    </row>
    <row r="7" spans="2:24" ht="21" x14ac:dyDescent="0.35">
      <c r="B7" s="102" t="s">
        <v>15</v>
      </c>
      <c r="C7" s="125" t="s">
        <v>16</v>
      </c>
      <c r="D7" s="102" t="s">
        <v>19</v>
      </c>
      <c r="E7" s="103">
        <v>19461.365000000002</v>
      </c>
      <c r="F7" s="126">
        <v>15</v>
      </c>
      <c r="G7" s="141"/>
      <c r="H7" s="103"/>
      <c r="I7" s="103"/>
      <c r="J7" s="103"/>
      <c r="K7" s="103">
        <f>E7-I7</f>
        <v>19461.365000000002</v>
      </c>
      <c r="L7" s="103">
        <v>0</v>
      </c>
      <c r="M7" s="103"/>
      <c r="N7" s="103">
        <v>3721.35</v>
      </c>
      <c r="O7" s="103">
        <v>0.16</v>
      </c>
      <c r="P7" s="156">
        <f>ROUND(E7*0.115,2)</f>
        <v>2238.06</v>
      </c>
      <c r="Q7" s="103">
        <f>SUM(N7:P7)+G7</f>
        <v>5959.57</v>
      </c>
      <c r="R7" s="208">
        <f>K7-Q7</f>
        <v>13501.795000000002</v>
      </c>
      <c r="S7" s="29">
        <v>790.02500000000009</v>
      </c>
      <c r="T7" s="128">
        <f>+E7*17.5%+E7*3%</f>
        <v>3989.5798249999998</v>
      </c>
      <c r="U7" s="157">
        <f>ROUND(+E7*2%,2)</f>
        <v>389.23</v>
      </c>
      <c r="V7" s="129">
        <f>SUM(S7:U7)</f>
        <v>5168.8348249999999</v>
      </c>
      <c r="X7" s="169"/>
    </row>
    <row r="8" spans="2:24" ht="21" x14ac:dyDescent="0.35">
      <c r="B8" s="102" t="s">
        <v>17</v>
      </c>
      <c r="C8" s="125" t="s">
        <v>18</v>
      </c>
      <c r="D8" s="102" t="s">
        <v>2</v>
      </c>
      <c r="E8" s="103">
        <v>6247.33</v>
      </c>
      <c r="F8" s="126">
        <v>15</v>
      </c>
      <c r="G8" s="178">
        <v>1000</v>
      </c>
      <c r="H8" s="103"/>
      <c r="I8" s="130"/>
      <c r="J8" s="103"/>
      <c r="K8" s="103">
        <f>E8-I8</f>
        <v>6247.33</v>
      </c>
      <c r="L8" s="103">
        <v>0</v>
      </c>
      <c r="M8" s="103"/>
      <c r="N8" s="103">
        <v>696.21</v>
      </c>
      <c r="O8" s="103">
        <v>0.08</v>
      </c>
      <c r="P8" s="156">
        <f>ROUND(E8*0.115,2)</f>
        <v>718.44</v>
      </c>
      <c r="Q8" s="103">
        <f>SUM(N8:P8)+G8</f>
        <v>2414.73</v>
      </c>
      <c r="R8" s="208">
        <f>K8-Q8</f>
        <v>3832.6</v>
      </c>
      <c r="S8" s="29">
        <v>396.69499999999999</v>
      </c>
      <c r="T8" s="128">
        <f>+E8*17.5%+E8*3%</f>
        <v>1280.7026499999997</v>
      </c>
      <c r="U8" s="157">
        <f>ROUND(+E8*2%,2)</f>
        <v>124.95</v>
      </c>
      <c r="V8" s="129">
        <f>SUM(S8:U8)</f>
        <v>1802.3476499999997</v>
      </c>
      <c r="X8" s="169"/>
    </row>
    <row r="9" spans="2:24" ht="18.75" x14ac:dyDescent="0.3">
      <c r="B9" s="131" t="s">
        <v>20</v>
      </c>
      <c r="C9" s="132"/>
      <c r="D9" s="133"/>
      <c r="E9" s="134">
        <f>SUM(E7:E8)</f>
        <v>25708.695</v>
      </c>
      <c r="F9" s="134"/>
      <c r="G9" s="134">
        <f>+G8+G7</f>
        <v>1000</v>
      </c>
      <c r="H9" s="134"/>
      <c r="I9" s="134">
        <f t="shared" ref="I9:V9" si="0">SUM(I7:I8)</f>
        <v>0</v>
      </c>
      <c r="J9" s="134">
        <f t="shared" si="0"/>
        <v>0</v>
      </c>
      <c r="K9" s="134">
        <f>SUM(K7:K8)</f>
        <v>25708.695</v>
      </c>
      <c r="L9" s="134">
        <f t="shared" si="0"/>
        <v>0</v>
      </c>
      <c r="M9" s="134">
        <f>SUM(M7:M8)</f>
        <v>0</v>
      </c>
      <c r="N9" s="134">
        <f>SUM(N7:N8)</f>
        <v>4417.5599999999995</v>
      </c>
      <c r="O9" s="134">
        <f t="shared" si="0"/>
        <v>0.24</v>
      </c>
      <c r="P9" s="134">
        <f>SUM(P7:P8)</f>
        <v>2956.5</v>
      </c>
      <c r="Q9" s="134">
        <f t="shared" si="0"/>
        <v>8374.2999999999993</v>
      </c>
      <c r="R9" s="135">
        <f>SUM(R7:R8)</f>
        <v>17334.395</v>
      </c>
      <c r="S9" s="134">
        <f t="shared" si="0"/>
        <v>1186.72</v>
      </c>
      <c r="T9" s="134">
        <f t="shared" si="0"/>
        <v>5270.282475</v>
      </c>
      <c r="U9" s="134">
        <f>SUM(U7:U8)</f>
        <v>514.18000000000006</v>
      </c>
      <c r="V9" s="134">
        <f t="shared" si="0"/>
        <v>6971.1824749999996</v>
      </c>
      <c r="X9" s="169"/>
    </row>
    <row r="10" spans="2:24" ht="10.5" hidden="1" customHeight="1" x14ac:dyDescent="0.3">
      <c r="C10" s="13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37"/>
      <c r="X10" s="169"/>
    </row>
    <row r="11" spans="2:24" ht="18.75" x14ac:dyDescent="0.3">
      <c r="B11" s="138" t="s">
        <v>21</v>
      </c>
      <c r="C11" s="31" t="s">
        <v>22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37"/>
      <c r="X11" s="169"/>
    </row>
    <row r="12" spans="2:24" ht="21" x14ac:dyDescent="0.35">
      <c r="B12" s="102" t="s">
        <v>23</v>
      </c>
      <c r="C12" s="125" t="s">
        <v>28</v>
      </c>
      <c r="D12" s="102" t="s">
        <v>114</v>
      </c>
      <c r="E12" s="103">
        <v>13000</v>
      </c>
      <c r="F12" s="126">
        <v>15</v>
      </c>
      <c r="G12" s="178">
        <v>3394</v>
      </c>
      <c r="H12" s="103"/>
      <c r="I12" s="103"/>
      <c r="J12" s="103"/>
      <c r="K12" s="103">
        <f t="shared" ref="K12:K18" si="1">E12-I12</f>
        <v>13000</v>
      </c>
      <c r="L12" s="103">
        <v>0</v>
      </c>
      <c r="M12" s="103"/>
      <c r="N12" s="103">
        <v>2161.23</v>
      </c>
      <c r="O12" s="103">
        <v>-0.03</v>
      </c>
      <c r="P12" s="156">
        <f t="shared" ref="P12:P19" si="2">ROUND(E12*0.115,2)</f>
        <v>1495</v>
      </c>
      <c r="Q12" s="103">
        <f t="shared" ref="Q12:Q19" si="3">SUM(N12:P12)+G12</f>
        <v>7050.2</v>
      </c>
      <c r="R12" s="208">
        <f t="shared" ref="R12:R19" si="4">K12-Q12</f>
        <v>5949.8</v>
      </c>
      <c r="S12" s="29">
        <v>597.69499999999994</v>
      </c>
      <c r="T12" s="128">
        <f>ROUND(+E12*17.5%,2)+ROUND(E12*3%,2)</f>
        <v>2665</v>
      </c>
      <c r="U12" s="157">
        <f t="shared" ref="U12:U19" si="5">ROUND(+E12*2%,2)</f>
        <v>260</v>
      </c>
      <c r="V12" s="129">
        <f t="shared" ref="V12:V19" si="6">SUM(S12:U12)</f>
        <v>3522.6949999999997</v>
      </c>
      <c r="X12" s="169"/>
    </row>
    <row r="13" spans="2:24" ht="21" x14ac:dyDescent="0.35">
      <c r="B13" s="102" t="s">
        <v>24</v>
      </c>
      <c r="C13" s="125" t="s">
        <v>29</v>
      </c>
      <c r="D13" s="102" t="s">
        <v>116</v>
      </c>
      <c r="E13" s="103">
        <v>7000.8</v>
      </c>
      <c r="F13" s="126">
        <v>15</v>
      </c>
      <c r="G13" s="178">
        <v>2129.5700000000002</v>
      </c>
      <c r="H13" s="103"/>
      <c r="I13" s="139"/>
      <c r="J13" s="140"/>
      <c r="K13" s="103">
        <f>E13-I13</f>
        <v>7000.8</v>
      </c>
      <c r="L13" s="103">
        <v>0</v>
      </c>
      <c r="M13" s="103"/>
      <c r="N13" s="103">
        <v>857.15</v>
      </c>
      <c r="O13" s="103">
        <v>-0.01</v>
      </c>
      <c r="P13" s="156">
        <f t="shared" si="2"/>
        <v>805.09</v>
      </c>
      <c r="Q13" s="103">
        <f t="shared" si="3"/>
        <v>3791.8</v>
      </c>
      <c r="R13" s="208">
        <f t="shared" si="4"/>
        <v>3209</v>
      </c>
      <c r="S13" s="29">
        <v>419.125</v>
      </c>
      <c r="T13" s="128">
        <f t="shared" ref="T13:T19" si="7">ROUND(+E13*17.5%,2)+ROUND(E13*3%,2)</f>
        <v>1435.16</v>
      </c>
      <c r="U13" s="157">
        <f t="shared" si="5"/>
        <v>140.02000000000001</v>
      </c>
      <c r="V13" s="129">
        <f t="shared" si="6"/>
        <v>1994.3050000000001</v>
      </c>
      <c r="X13" s="169"/>
    </row>
    <row r="14" spans="2:24" ht="21" x14ac:dyDescent="0.35">
      <c r="B14" s="102" t="s">
        <v>25</v>
      </c>
      <c r="C14" s="125" t="s">
        <v>92</v>
      </c>
      <c r="D14" s="102" t="s">
        <v>115</v>
      </c>
      <c r="E14" s="103">
        <v>7000.8</v>
      </c>
      <c r="F14" s="126">
        <v>15</v>
      </c>
      <c r="G14" s="178">
        <v>1330.99</v>
      </c>
      <c r="H14" s="141"/>
      <c r="I14" s="139"/>
      <c r="J14" s="140"/>
      <c r="K14" s="103">
        <f>E14-I14</f>
        <v>7000.8</v>
      </c>
      <c r="L14" s="103">
        <v>0</v>
      </c>
      <c r="M14" s="103"/>
      <c r="N14" s="103">
        <v>857.15</v>
      </c>
      <c r="O14" s="103">
        <v>-0.03</v>
      </c>
      <c r="P14" s="156">
        <f>ROUND(E14*0.115,2)</f>
        <v>805.09</v>
      </c>
      <c r="Q14" s="103">
        <f>SUM(N14:P14)+G14</f>
        <v>2993.2</v>
      </c>
      <c r="R14" s="208">
        <f>K14-Q14</f>
        <v>4007.6000000000004</v>
      </c>
      <c r="S14" s="29">
        <v>419.125</v>
      </c>
      <c r="T14" s="128">
        <f t="shared" si="7"/>
        <v>1435.16</v>
      </c>
      <c r="U14" s="157">
        <f t="shared" si="5"/>
        <v>140.02000000000001</v>
      </c>
      <c r="V14" s="129">
        <f t="shared" si="6"/>
        <v>1994.3050000000001</v>
      </c>
      <c r="X14" s="169"/>
    </row>
    <row r="15" spans="2:24" ht="21" x14ac:dyDescent="0.35">
      <c r="B15" s="102" t="s">
        <v>26</v>
      </c>
      <c r="C15" s="125" t="s">
        <v>58</v>
      </c>
      <c r="D15" s="102" t="s">
        <v>37</v>
      </c>
      <c r="E15" s="103">
        <v>7443.8</v>
      </c>
      <c r="F15" s="126">
        <v>15</v>
      </c>
      <c r="G15" s="103"/>
      <c r="H15" s="103"/>
      <c r="I15" s="139"/>
      <c r="J15" s="103"/>
      <c r="K15" s="103">
        <f t="shared" si="1"/>
        <v>7443.8</v>
      </c>
      <c r="L15" s="103">
        <v>0</v>
      </c>
      <c r="M15" s="103"/>
      <c r="N15" s="103">
        <v>951.78</v>
      </c>
      <c r="O15" s="103">
        <v>-0.02</v>
      </c>
      <c r="P15" s="156">
        <f t="shared" si="2"/>
        <v>856.04</v>
      </c>
      <c r="Q15" s="103">
        <f t="shared" si="3"/>
        <v>1807.8</v>
      </c>
      <c r="R15" s="208">
        <f t="shared" si="4"/>
        <v>5636</v>
      </c>
      <c r="S15" s="29">
        <v>432.30499999999995</v>
      </c>
      <c r="T15" s="128">
        <f t="shared" si="7"/>
        <v>1525.98</v>
      </c>
      <c r="U15" s="157">
        <f t="shared" si="5"/>
        <v>148.88</v>
      </c>
      <c r="V15" s="129">
        <f t="shared" si="6"/>
        <v>2107.165</v>
      </c>
      <c r="X15" s="169"/>
    </row>
    <row r="16" spans="2:24" ht="21" x14ac:dyDescent="0.35">
      <c r="B16" s="102" t="s">
        <v>27</v>
      </c>
      <c r="C16" s="125" t="s">
        <v>40</v>
      </c>
      <c r="D16" s="102" t="s">
        <v>117</v>
      </c>
      <c r="E16" s="103">
        <v>4918.3649999999998</v>
      </c>
      <c r="F16" s="126">
        <v>15</v>
      </c>
      <c r="G16" s="178">
        <v>2050</v>
      </c>
      <c r="H16" s="103"/>
      <c r="I16" s="139"/>
      <c r="J16" s="103"/>
      <c r="K16" s="103">
        <f>E16-I16</f>
        <v>4918.3649999999998</v>
      </c>
      <c r="L16" s="103">
        <v>0</v>
      </c>
      <c r="M16" s="103"/>
      <c r="N16" s="103">
        <v>447.61</v>
      </c>
      <c r="O16" s="103">
        <v>-0.05</v>
      </c>
      <c r="P16" s="156">
        <f>ROUND(E16*0.115,2)</f>
        <v>565.61</v>
      </c>
      <c r="Q16" s="103">
        <f>SUM(N16:P16)+G16</f>
        <v>3063.17</v>
      </c>
      <c r="R16" s="208">
        <f t="shared" si="4"/>
        <v>1855.1949999999997</v>
      </c>
      <c r="S16" s="29">
        <v>357.13499999999999</v>
      </c>
      <c r="T16" s="128">
        <f t="shared" si="7"/>
        <v>1008.26</v>
      </c>
      <c r="U16" s="157">
        <f t="shared" si="5"/>
        <v>98.37</v>
      </c>
      <c r="V16" s="129">
        <f t="shared" si="6"/>
        <v>1463.7649999999999</v>
      </c>
      <c r="X16" s="169"/>
    </row>
    <row r="17" spans="2:24" ht="21" x14ac:dyDescent="0.35">
      <c r="B17" s="102" t="s">
        <v>60</v>
      </c>
      <c r="C17" s="125" t="s">
        <v>41</v>
      </c>
      <c r="D17" s="102" t="s">
        <v>118</v>
      </c>
      <c r="E17" s="103">
        <v>4918.3649999999998</v>
      </c>
      <c r="F17" s="126">
        <v>15</v>
      </c>
      <c r="G17" s="178">
        <v>1676.62</v>
      </c>
      <c r="H17" s="103"/>
      <c r="I17" s="139"/>
      <c r="J17" s="103"/>
      <c r="K17" s="103">
        <f>E17-I17</f>
        <v>4918.3649999999998</v>
      </c>
      <c r="L17" s="103">
        <v>0</v>
      </c>
      <c r="M17" s="103"/>
      <c r="N17" s="103">
        <v>447.61</v>
      </c>
      <c r="O17" s="103">
        <v>0.13</v>
      </c>
      <c r="P17" s="156">
        <f t="shared" si="2"/>
        <v>565.61</v>
      </c>
      <c r="Q17" s="103">
        <f>SUM(N17:P17)+G17</f>
        <v>2689.97</v>
      </c>
      <c r="R17" s="208">
        <f>K17-Q17</f>
        <v>2228.395</v>
      </c>
      <c r="S17" s="29">
        <v>357.13499999999999</v>
      </c>
      <c r="T17" s="128">
        <f t="shared" si="7"/>
        <v>1008.26</v>
      </c>
      <c r="U17" s="157">
        <f t="shared" si="5"/>
        <v>98.37</v>
      </c>
      <c r="V17" s="129">
        <f t="shared" si="6"/>
        <v>1463.7649999999999</v>
      </c>
      <c r="X17" s="169"/>
    </row>
    <row r="18" spans="2:24" ht="21" x14ac:dyDescent="0.35">
      <c r="B18" s="102" t="s">
        <v>61</v>
      </c>
      <c r="C18" s="125" t="s">
        <v>43</v>
      </c>
      <c r="D18" s="102" t="s">
        <v>3</v>
      </c>
      <c r="E18" s="103">
        <v>4358.17</v>
      </c>
      <c r="F18" s="126">
        <v>15</v>
      </c>
      <c r="G18" s="178">
        <v>969</v>
      </c>
      <c r="H18" s="103"/>
      <c r="I18" s="103"/>
      <c r="J18" s="103"/>
      <c r="K18" s="103">
        <f t="shared" si="1"/>
        <v>4358.17</v>
      </c>
      <c r="L18" s="103"/>
      <c r="M18" s="103"/>
      <c r="N18" s="103">
        <v>357.97</v>
      </c>
      <c r="O18" s="103">
        <v>0.01</v>
      </c>
      <c r="P18" s="156">
        <f t="shared" si="2"/>
        <v>501.19</v>
      </c>
      <c r="Q18" s="103">
        <f t="shared" si="3"/>
        <v>1828.17</v>
      </c>
      <c r="R18" s="208">
        <f t="shared" si="4"/>
        <v>2530</v>
      </c>
      <c r="S18" s="29">
        <v>340.46500000000003</v>
      </c>
      <c r="T18" s="128">
        <f t="shared" si="7"/>
        <v>893.43</v>
      </c>
      <c r="U18" s="157">
        <f t="shared" si="5"/>
        <v>87.16</v>
      </c>
      <c r="V18" s="129">
        <f t="shared" si="6"/>
        <v>1321.0550000000001</v>
      </c>
      <c r="X18" s="169"/>
    </row>
    <row r="19" spans="2:24" ht="21" x14ac:dyDescent="0.35">
      <c r="B19" s="102" t="s">
        <v>62</v>
      </c>
      <c r="C19" s="125" t="s">
        <v>42</v>
      </c>
      <c r="D19" s="102" t="s">
        <v>119</v>
      </c>
      <c r="E19" s="103">
        <v>4918.3649999999998</v>
      </c>
      <c r="F19" s="126">
        <v>15</v>
      </c>
      <c r="G19" s="178">
        <v>1213.4000000000001</v>
      </c>
      <c r="H19" s="130"/>
      <c r="I19" s="139"/>
      <c r="J19" s="103"/>
      <c r="K19" s="103">
        <f>E19-I19+H19</f>
        <v>4918.3649999999998</v>
      </c>
      <c r="L19" s="103"/>
      <c r="M19" s="103"/>
      <c r="N19" s="103">
        <v>447.61</v>
      </c>
      <c r="O19" s="103">
        <v>-0.05</v>
      </c>
      <c r="P19" s="156">
        <f t="shared" si="2"/>
        <v>565.61</v>
      </c>
      <c r="Q19" s="103">
        <f t="shared" si="3"/>
        <v>2226.5700000000002</v>
      </c>
      <c r="R19" s="208">
        <f t="shared" si="4"/>
        <v>2691.7949999999996</v>
      </c>
      <c r="S19" s="29">
        <v>357.13499999999999</v>
      </c>
      <c r="T19" s="128">
        <f t="shared" si="7"/>
        <v>1008.26</v>
      </c>
      <c r="U19" s="157">
        <f t="shared" si="5"/>
        <v>98.37</v>
      </c>
      <c r="V19" s="129">
        <f t="shared" si="6"/>
        <v>1463.7649999999999</v>
      </c>
      <c r="X19" s="169"/>
    </row>
    <row r="20" spans="2:24" ht="18.75" x14ac:dyDescent="0.3">
      <c r="B20" s="138" t="s">
        <v>20</v>
      </c>
      <c r="C20" s="194"/>
      <c r="D20" s="133"/>
      <c r="E20" s="134">
        <f>SUM(E12:E19)</f>
        <v>53558.664999999994</v>
      </c>
      <c r="F20" s="134"/>
      <c r="G20" s="134">
        <f>+G19+G18+G17+G16+G12+G13+G14</f>
        <v>12763.58</v>
      </c>
      <c r="H20" s="134"/>
      <c r="I20" s="134">
        <f t="shared" ref="I20:V20" si="8">SUM(I12:I19)</f>
        <v>0</v>
      </c>
      <c r="J20" s="134">
        <f t="shared" si="8"/>
        <v>0</v>
      </c>
      <c r="K20" s="134">
        <f>SUM(K12:K19)</f>
        <v>53558.664999999994</v>
      </c>
      <c r="L20" s="134">
        <f t="shared" ref="L20" si="9">SUM(L12:L19)</f>
        <v>0</v>
      </c>
      <c r="M20" s="134">
        <f>SUM(M12:M19)</f>
        <v>0</v>
      </c>
      <c r="N20" s="134">
        <f>SUM(N12:N19)</f>
        <v>6528.11</v>
      </c>
      <c r="O20" s="134">
        <f t="shared" si="8"/>
        <v>-5.000000000000001E-2</v>
      </c>
      <c r="P20" s="134">
        <f>SUM(P12:P19)</f>
        <v>6159.2399999999989</v>
      </c>
      <c r="Q20" s="134">
        <f t="shared" si="8"/>
        <v>25450.879999999997</v>
      </c>
      <c r="R20" s="135">
        <f>SUM(R12:R19)</f>
        <v>28107.785</v>
      </c>
      <c r="S20" s="134">
        <f>SUM(S12:S19)</f>
        <v>3280.1200000000008</v>
      </c>
      <c r="T20" s="134">
        <f t="shared" si="8"/>
        <v>10979.51</v>
      </c>
      <c r="U20" s="134">
        <f>SUM(U12:U19)</f>
        <v>1071.19</v>
      </c>
      <c r="V20" s="134">
        <f t="shared" si="8"/>
        <v>15330.82</v>
      </c>
      <c r="X20" s="169"/>
    </row>
    <row r="21" spans="2:24" ht="18.75" hidden="1" x14ac:dyDescent="0.3">
      <c r="B21" s="138"/>
      <c r="C21" s="136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37"/>
      <c r="X21" s="169"/>
    </row>
    <row r="22" spans="2:24" ht="18.75" x14ac:dyDescent="0.3">
      <c r="B22" s="138" t="s">
        <v>31</v>
      </c>
      <c r="C22" s="31" t="s">
        <v>83</v>
      </c>
      <c r="E22" s="103"/>
      <c r="F22" s="103"/>
      <c r="G22" s="103"/>
      <c r="H22" s="103"/>
      <c r="I22" s="103"/>
      <c r="J22" s="103"/>
      <c r="K22" s="142"/>
      <c r="L22" s="142"/>
      <c r="M22" s="103"/>
      <c r="N22" s="103"/>
      <c r="O22" s="103"/>
      <c r="P22" s="103"/>
      <c r="Q22" s="103"/>
      <c r="R22" s="137"/>
      <c r="X22" s="169"/>
    </row>
    <row r="23" spans="2:24" ht="21" x14ac:dyDescent="0.35">
      <c r="B23" s="102" t="s">
        <v>63</v>
      </c>
      <c r="C23" s="125" t="s">
        <v>110</v>
      </c>
      <c r="D23" s="158" t="s">
        <v>132</v>
      </c>
      <c r="E23" s="103">
        <v>7000.8</v>
      </c>
      <c r="F23" s="126">
        <v>15</v>
      </c>
      <c r="G23" s="103"/>
      <c r="H23" s="103"/>
      <c r="I23" s="103"/>
      <c r="J23" s="103"/>
      <c r="K23" s="103">
        <f>E23-I23</f>
        <v>7000.8</v>
      </c>
      <c r="L23" s="103">
        <v>0</v>
      </c>
      <c r="M23" s="103"/>
      <c r="N23" s="103">
        <v>857.15</v>
      </c>
      <c r="O23" s="103">
        <v>-0.04</v>
      </c>
      <c r="P23" s="156">
        <f>ROUND(E23*0.115,2)</f>
        <v>805.09</v>
      </c>
      <c r="Q23" s="103">
        <f t="shared" ref="Q23:Q24" si="10">SUM(N23:P23)+G23</f>
        <v>1662.2</v>
      </c>
      <c r="R23" s="208">
        <f>K23-Q23</f>
        <v>5338.6</v>
      </c>
      <c r="S23" s="170">
        <v>419.125</v>
      </c>
      <c r="T23" s="128">
        <f t="shared" ref="T23:T26" si="11">ROUND(+E23*17.5%,2)+ROUND(E23*3%,2)</f>
        <v>1435.16</v>
      </c>
      <c r="U23" s="157">
        <f t="shared" ref="U23:U26" si="12">ROUND(+E23*2%,2)</f>
        <v>140.02000000000001</v>
      </c>
      <c r="V23" s="129">
        <f t="shared" ref="V23:V24" si="13">SUM(S23:U23)</f>
        <v>1994.3050000000001</v>
      </c>
      <c r="X23" s="169"/>
    </row>
    <row r="24" spans="2:24" ht="21" x14ac:dyDescent="0.35">
      <c r="B24" s="102" t="s">
        <v>112</v>
      </c>
      <c r="C24" s="125" t="s">
        <v>113</v>
      </c>
      <c r="D24" s="158" t="s">
        <v>133</v>
      </c>
      <c r="E24" s="103">
        <v>7000.8</v>
      </c>
      <c r="F24" s="126">
        <v>15</v>
      </c>
      <c r="G24" s="103"/>
      <c r="H24" s="103"/>
      <c r="I24" s="103"/>
      <c r="J24" s="103"/>
      <c r="K24" s="103">
        <f>E24-I24</f>
        <v>7000.8</v>
      </c>
      <c r="L24" s="103">
        <v>0</v>
      </c>
      <c r="M24" s="103"/>
      <c r="N24" s="103">
        <v>857.15</v>
      </c>
      <c r="O24" s="103">
        <v>-0.04</v>
      </c>
      <c r="P24" s="156">
        <f>ROUND(E24*0.115,2)</f>
        <v>805.09</v>
      </c>
      <c r="Q24" s="103">
        <f t="shared" si="10"/>
        <v>1662.2</v>
      </c>
      <c r="R24" s="208">
        <f>K24-Q24</f>
        <v>5338.6</v>
      </c>
      <c r="S24" s="170">
        <v>419.125</v>
      </c>
      <c r="T24" s="128">
        <f t="shared" si="11"/>
        <v>1435.16</v>
      </c>
      <c r="U24" s="157">
        <f t="shared" si="12"/>
        <v>140.02000000000001</v>
      </c>
      <c r="V24" s="129">
        <f t="shared" si="13"/>
        <v>1994.3050000000001</v>
      </c>
      <c r="X24" s="169"/>
    </row>
    <row r="25" spans="2:24" ht="21" x14ac:dyDescent="0.35">
      <c r="B25" s="102" t="s">
        <v>64</v>
      </c>
      <c r="C25" s="125" t="s">
        <v>45</v>
      </c>
      <c r="D25" s="102" t="s">
        <v>122</v>
      </c>
      <c r="E25" s="103">
        <v>7000.8</v>
      </c>
      <c r="F25" s="126">
        <v>15</v>
      </c>
      <c r="G25" s="141"/>
      <c r="H25" s="103"/>
      <c r="I25" s="143"/>
      <c r="J25" s="103"/>
      <c r="K25" s="103">
        <f>E25-I25</f>
        <v>7000.8</v>
      </c>
      <c r="L25" s="103">
        <v>0</v>
      </c>
      <c r="M25" s="103"/>
      <c r="N25" s="103">
        <v>857.15</v>
      </c>
      <c r="O25" s="103">
        <v>-0.04</v>
      </c>
      <c r="P25" s="156">
        <f>ROUND(E25*0.115,2)</f>
        <v>805.09</v>
      </c>
      <c r="Q25" s="103">
        <f>SUM(N25:P25)+G25</f>
        <v>1662.2</v>
      </c>
      <c r="R25" s="208">
        <f>K25-Q25</f>
        <v>5338.6</v>
      </c>
      <c r="S25" s="170">
        <v>419.125</v>
      </c>
      <c r="T25" s="128">
        <f t="shared" si="11"/>
        <v>1435.16</v>
      </c>
      <c r="U25" s="157">
        <f t="shared" si="12"/>
        <v>140.02000000000001</v>
      </c>
      <c r="V25" s="129">
        <f>SUM(S25:U25)</f>
        <v>1994.3050000000001</v>
      </c>
      <c r="X25" s="169"/>
    </row>
    <row r="26" spans="2:24" ht="21" x14ac:dyDescent="0.35">
      <c r="B26" s="102" t="s">
        <v>65</v>
      </c>
      <c r="C26" s="125" t="s">
        <v>59</v>
      </c>
      <c r="D26" s="158" t="s">
        <v>134</v>
      </c>
      <c r="E26" s="103">
        <v>7000.8</v>
      </c>
      <c r="F26" s="126">
        <v>15</v>
      </c>
      <c r="G26" s="178">
        <v>1189</v>
      </c>
      <c r="H26" s="130"/>
      <c r="I26" s="130"/>
      <c r="J26" s="103"/>
      <c r="K26" s="103">
        <f>E26-I26+H26</f>
        <v>7000.8</v>
      </c>
      <c r="L26" s="103">
        <v>0</v>
      </c>
      <c r="M26" s="103"/>
      <c r="N26" s="103">
        <v>857.15</v>
      </c>
      <c r="O26" s="103">
        <v>-0.04</v>
      </c>
      <c r="P26" s="156">
        <f>ROUND(E26*0.115,2)</f>
        <v>805.09</v>
      </c>
      <c r="Q26" s="103">
        <f>SUM(N26:P26)+G26</f>
        <v>2851.2</v>
      </c>
      <c r="R26" s="208">
        <f>K26-Q26</f>
        <v>4149.6000000000004</v>
      </c>
      <c r="S26" s="170">
        <v>419.125</v>
      </c>
      <c r="T26" s="128">
        <f t="shared" si="11"/>
        <v>1435.16</v>
      </c>
      <c r="U26" s="157">
        <f t="shared" si="12"/>
        <v>140.02000000000001</v>
      </c>
      <c r="V26" s="129">
        <f>SUM(S26:U26)</f>
        <v>1994.3050000000001</v>
      </c>
      <c r="X26" s="169"/>
    </row>
    <row r="27" spans="2:24" ht="18.75" x14ac:dyDescent="0.3">
      <c r="B27" s="138" t="s">
        <v>20</v>
      </c>
      <c r="C27" s="132"/>
      <c r="D27" s="133"/>
      <c r="E27" s="134">
        <f>SUM(E23:E26)</f>
        <v>28003.200000000001</v>
      </c>
      <c r="F27" s="134"/>
      <c r="G27" s="134">
        <f>+G26+G25+G23+G24</f>
        <v>1189</v>
      </c>
      <c r="H27" s="134"/>
      <c r="I27" s="134">
        <f t="shared" ref="I27:J27" si="14">SUM(I23:I26)</f>
        <v>0</v>
      </c>
      <c r="J27" s="134">
        <f t="shared" si="14"/>
        <v>0</v>
      </c>
      <c r="K27" s="134">
        <f>SUM(K23:K26)</f>
        <v>28003.200000000001</v>
      </c>
      <c r="L27" s="134">
        <f t="shared" ref="L27" si="15">SUM(L23:L26)</f>
        <v>0</v>
      </c>
      <c r="M27" s="134">
        <f>SUM(M23:M26)</f>
        <v>0</v>
      </c>
      <c r="N27" s="134">
        <f>SUM(N23:N26)</f>
        <v>3428.6</v>
      </c>
      <c r="O27" s="134">
        <f t="shared" ref="O27:Q27" si="16">SUM(O23:O26)</f>
        <v>-0.16</v>
      </c>
      <c r="P27" s="134">
        <f>SUM(P23:P26)</f>
        <v>3220.36</v>
      </c>
      <c r="Q27" s="134">
        <f t="shared" si="16"/>
        <v>7837.8</v>
      </c>
      <c r="R27" s="135">
        <f>SUM(R23:R26)</f>
        <v>20165.400000000001</v>
      </c>
      <c r="S27" s="134">
        <f>SUM(S23:S26)</f>
        <v>1676.5</v>
      </c>
      <c r="T27" s="134">
        <f>SUM(T23:T26)</f>
        <v>5740.64</v>
      </c>
      <c r="U27" s="134">
        <f>SUM(U23:U26)</f>
        <v>560.08000000000004</v>
      </c>
      <c r="V27" s="134">
        <f>SUM(V23:V26)</f>
        <v>7977.22</v>
      </c>
      <c r="X27" s="169"/>
    </row>
    <row r="28" spans="2:24" ht="18.75" hidden="1" x14ac:dyDescent="0.3">
      <c r="C28" s="136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37"/>
      <c r="X28" s="169"/>
    </row>
    <row r="29" spans="2:24" ht="18.75" x14ac:dyDescent="0.3">
      <c r="B29" s="138" t="s">
        <v>33</v>
      </c>
      <c r="C29" s="31" t="s">
        <v>32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37"/>
      <c r="X29" s="169"/>
    </row>
    <row r="30" spans="2:24" ht="21" x14ac:dyDescent="0.35">
      <c r="B30" s="102" t="s">
        <v>66</v>
      </c>
      <c r="C30" s="125" t="s">
        <v>49</v>
      </c>
      <c r="D30" s="158" t="s">
        <v>128</v>
      </c>
      <c r="E30" s="103">
        <v>7000.8</v>
      </c>
      <c r="F30" s="126">
        <v>15</v>
      </c>
      <c r="G30" s="103"/>
      <c r="H30" s="103"/>
      <c r="I30" s="144"/>
      <c r="J30" s="103"/>
      <c r="K30" s="103">
        <f t="shared" ref="K30:K37" si="17">E30-I30</f>
        <v>7000.8</v>
      </c>
      <c r="L30" s="103">
        <v>0</v>
      </c>
      <c r="M30" s="103"/>
      <c r="N30" s="103">
        <v>857.15</v>
      </c>
      <c r="O30" s="103">
        <v>-0.04</v>
      </c>
      <c r="P30" s="156">
        <f>ROUND(E30*0.115,2)</f>
        <v>805.09</v>
      </c>
      <c r="Q30" s="103">
        <f t="shared" ref="Q30:Q40" si="18">SUM(N30:P30)+G30</f>
        <v>1662.2</v>
      </c>
      <c r="R30" s="208">
        <f t="shared" ref="R30:R38" si="19">K30-Q30</f>
        <v>5338.6</v>
      </c>
      <c r="S30" s="170">
        <v>419.125</v>
      </c>
      <c r="T30" s="128">
        <f t="shared" ref="T30:T40" si="20">ROUND(+E30*17.5%,2)+ROUND(E30*3%,2)</f>
        <v>1435.16</v>
      </c>
      <c r="U30" s="157">
        <f t="shared" ref="U30:U40" si="21">ROUND(+E30*2%,2)</f>
        <v>140.02000000000001</v>
      </c>
      <c r="V30" s="129">
        <f>SUM(S30:U30)</f>
        <v>1994.3050000000001</v>
      </c>
      <c r="X30" s="169"/>
    </row>
    <row r="31" spans="2:24" ht="21" x14ac:dyDescent="0.35">
      <c r="B31" s="102" t="s">
        <v>67</v>
      </c>
      <c r="C31" s="125" t="s">
        <v>51</v>
      </c>
      <c r="D31" s="158" t="s">
        <v>135</v>
      </c>
      <c r="E31" s="103">
        <v>7000.8</v>
      </c>
      <c r="F31" s="126">
        <v>15</v>
      </c>
      <c r="G31" s="141"/>
      <c r="H31" s="103"/>
      <c r="I31" s="130"/>
      <c r="J31" s="141"/>
      <c r="K31" s="141">
        <f t="shared" si="17"/>
        <v>7000.8</v>
      </c>
      <c r="L31" s="141">
        <v>0</v>
      </c>
      <c r="M31" s="103"/>
      <c r="N31" s="103">
        <v>857.15</v>
      </c>
      <c r="O31" s="103">
        <v>-0.04</v>
      </c>
      <c r="P31" s="156">
        <f t="shared" ref="P31:P40" si="22">ROUND(E31*0.115,2)</f>
        <v>805.09</v>
      </c>
      <c r="Q31" s="103">
        <f>SUM(N31:P31)+G31</f>
        <v>1662.2</v>
      </c>
      <c r="R31" s="208">
        <f t="shared" si="19"/>
        <v>5338.6</v>
      </c>
      <c r="S31" s="170">
        <v>419.125</v>
      </c>
      <c r="T31" s="128">
        <f t="shared" si="20"/>
        <v>1435.16</v>
      </c>
      <c r="U31" s="157">
        <f t="shared" si="21"/>
        <v>140.02000000000001</v>
      </c>
      <c r="V31" s="129">
        <f>SUM(S31:U31)</f>
        <v>1994.3050000000001</v>
      </c>
      <c r="X31" s="169"/>
    </row>
    <row r="32" spans="2:24" ht="21" x14ac:dyDescent="0.35">
      <c r="B32" s="102" t="s">
        <v>68</v>
      </c>
      <c r="C32" s="125" t="s">
        <v>48</v>
      </c>
      <c r="D32" s="102" t="s">
        <v>123</v>
      </c>
      <c r="E32" s="103">
        <v>7443.8</v>
      </c>
      <c r="F32" s="126">
        <v>15</v>
      </c>
      <c r="G32" s="103"/>
      <c r="H32" s="103"/>
      <c r="I32" s="130"/>
      <c r="J32" s="103"/>
      <c r="K32" s="103">
        <f t="shared" si="17"/>
        <v>7443.8</v>
      </c>
      <c r="L32" s="103">
        <v>0</v>
      </c>
      <c r="M32" s="103"/>
      <c r="N32" s="103">
        <v>951.78</v>
      </c>
      <c r="O32" s="103">
        <v>-0.02</v>
      </c>
      <c r="P32" s="156">
        <f t="shared" si="22"/>
        <v>856.04</v>
      </c>
      <c r="Q32" s="103">
        <f t="shared" si="18"/>
        <v>1807.8</v>
      </c>
      <c r="R32" s="208">
        <f t="shared" si="19"/>
        <v>5636</v>
      </c>
      <c r="S32" s="170">
        <v>432.30499999999995</v>
      </c>
      <c r="T32" s="128">
        <f t="shared" si="20"/>
        <v>1525.98</v>
      </c>
      <c r="U32" s="157">
        <f>ROUND(+E32*2%,2)</f>
        <v>148.88</v>
      </c>
      <c r="V32" s="129">
        <f t="shared" ref="V32:V40" si="23">SUM(S32:U32)</f>
        <v>2107.165</v>
      </c>
      <c r="X32" s="169"/>
    </row>
    <row r="33" spans="2:24" ht="21" x14ac:dyDescent="0.35">
      <c r="B33" s="102" t="s">
        <v>77</v>
      </c>
      <c r="C33" s="125" t="s">
        <v>111</v>
      </c>
      <c r="D33" s="102" t="s">
        <v>127</v>
      </c>
      <c r="E33" s="103">
        <v>7000.8</v>
      </c>
      <c r="F33" s="126">
        <v>15</v>
      </c>
      <c r="G33" s="178">
        <v>1167</v>
      </c>
      <c r="H33" s="103"/>
      <c r="I33" s="144"/>
      <c r="J33" s="103"/>
      <c r="K33" s="103">
        <f>E33-I33</f>
        <v>7000.8</v>
      </c>
      <c r="L33" s="103">
        <v>0</v>
      </c>
      <c r="M33" s="103"/>
      <c r="N33" s="103">
        <v>857.15</v>
      </c>
      <c r="O33" s="103">
        <v>-0.04</v>
      </c>
      <c r="P33" s="156">
        <f t="shared" si="22"/>
        <v>805.09</v>
      </c>
      <c r="Q33" s="103">
        <f>SUM(N33:P33)+G33</f>
        <v>2829.2</v>
      </c>
      <c r="R33" s="208">
        <f>K33-Q33</f>
        <v>4171.6000000000004</v>
      </c>
      <c r="S33" s="170">
        <v>419.125</v>
      </c>
      <c r="T33" s="128">
        <f t="shared" si="20"/>
        <v>1435.16</v>
      </c>
      <c r="U33" s="157">
        <f t="shared" si="21"/>
        <v>140.02000000000001</v>
      </c>
      <c r="V33" s="129">
        <f t="shared" si="23"/>
        <v>1994.3050000000001</v>
      </c>
      <c r="X33" s="169"/>
    </row>
    <row r="34" spans="2:24" ht="21" x14ac:dyDescent="0.35">
      <c r="B34" s="102" t="s">
        <v>70</v>
      </c>
      <c r="C34" s="125" t="s">
        <v>46</v>
      </c>
      <c r="D34" s="102" t="s">
        <v>124</v>
      </c>
      <c r="E34" s="103">
        <v>7000.8</v>
      </c>
      <c r="F34" s="126">
        <v>15</v>
      </c>
      <c r="G34" s="178">
        <v>572.98</v>
      </c>
      <c r="H34" s="103"/>
      <c r="I34" s="139"/>
      <c r="J34" s="141"/>
      <c r="K34" s="141">
        <f t="shared" si="17"/>
        <v>7000.8</v>
      </c>
      <c r="L34" s="141">
        <v>0</v>
      </c>
      <c r="M34" s="103"/>
      <c r="N34" s="103">
        <v>857.15</v>
      </c>
      <c r="O34" s="103">
        <v>-0.02</v>
      </c>
      <c r="P34" s="156">
        <f t="shared" si="22"/>
        <v>805.09</v>
      </c>
      <c r="Q34" s="103">
        <f t="shared" si="18"/>
        <v>2235.1999999999998</v>
      </c>
      <c r="R34" s="208">
        <f t="shared" si="19"/>
        <v>4765.6000000000004</v>
      </c>
      <c r="S34" s="170">
        <v>419.125</v>
      </c>
      <c r="T34" s="128">
        <f t="shared" si="20"/>
        <v>1435.16</v>
      </c>
      <c r="U34" s="157">
        <f t="shared" si="21"/>
        <v>140.02000000000001</v>
      </c>
      <c r="V34" s="129">
        <f t="shared" si="23"/>
        <v>1994.3050000000001</v>
      </c>
      <c r="X34" s="169"/>
    </row>
    <row r="35" spans="2:24" ht="21" x14ac:dyDescent="0.35">
      <c r="B35" s="102" t="s">
        <v>71</v>
      </c>
      <c r="C35" s="125" t="s">
        <v>50</v>
      </c>
      <c r="D35" s="102" t="s">
        <v>124</v>
      </c>
      <c r="E35" s="103">
        <v>7000.8</v>
      </c>
      <c r="F35" s="126">
        <v>15</v>
      </c>
      <c r="G35" s="103"/>
      <c r="H35" s="141"/>
      <c r="I35" s="130"/>
      <c r="J35" s="141"/>
      <c r="K35" s="141">
        <f t="shared" si="17"/>
        <v>7000.8</v>
      </c>
      <c r="L35" s="141">
        <v>0</v>
      </c>
      <c r="M35" s="103"/>
      <c r="N35" s="103">
        <v>857.15</v>
      </c>
      <c r="O35" s="103">
        <v>-0.04</v>
      </c>
      <c r="P35" s="156">
        <f t="shared" si="22"/>
        <v>805.09</v>
      </c>
      <c r="Q35" s="103">
        <f t="shared" si="18"/>
        <v>1662.2</v>
      </c>
      <c r="R35" s="208">
        <f t="shared" si="19"/>
        <v>5338.6</v>
      </c>
      <c r="S35" s="170">
        <v>419.125</v>
      </c>
      <c r="T35" s="128">
        <f t="shared" si="20"/>
        <v>1435.16</v>
      </c>
      <c r="U35" s="157">
        <f t="shared" si="21"/>
        <v>140.02000000000001</v>
      </c>
      <c r="V35" s="129">
        <f t="shared" si="23"/>
        <v>1994.3050000000001</v>
      </c>
      <c r="X35" s="169"/>
    </row>
    <row r="36" spans="2:24" ht="21" x14ac:dyDescent="0.35">
      <c r="B36" s="102" t="s">
        <v>72</v>
      </c>
      <c r="C36" s="125" t="s">
        <v>52</v>
      </c>
      <c r="D36" s="102" t="s">
        <v>124</v>
      </c>
      <c r="E36" s="103">
        <v>7000.8</v>
      </c>
      <c r="F36" s="126">
        <v>15</v>
      </c>
      <c r="G36" s="103"/>
      <c r="H36" s="103"/>
      <c r="I36" s="139"/>
      <c r="J36" s="141"/>
      <c r="K36" s="141">
        <f t="shared" si="17"/>
        <v>7000.8</v>
      </c>
      <c r="L36" s="141">
        <v>0</v>
      </c>
      <c r="M36" s="103"/>
      <c r="N36" s="103">
        <v>857.15</v>
      </c>
      <c r="O36" s="103">
        <v>-0.04</v>
      </c>
      <c r="P36" s="156">
        <f t="shared" si="22"/>
        <v>805.09</v>
      </c>
      <c r="Q36" s="103">
        <f t="shared" si="18"/>
        <v>1662.2</v>
      </c>
      <c r="R36" s="208">
        <f t="shared" si="19"/>
        <v>5338.6</v>
      </c>
      <c r="S36" s="170">
        <v>419.125</v>
      </c>
      <c r="T36" s="128">
        <f t="shared" si="20"/>
        <v>1435.16</v>
      </c>
      <c r="U36" s="157">
        <f t="shared" si="21"/>
        <v>140.02000000000001</v>
      </c>
      <c r="V36" s="129">
        <f t="shared" si="23"/>
        <v>1994.3050000000001</v>
      </c>
      <c r="X36" s="169"/>
    </row>
    <row r="37" spans="2:24" ht="21" x14ac:dyDescent="0.35">
      <c r="B37" s="202" t="s">
        <v>73</v>
      </c>
      <c r="C37" s="203" t="s">
        <v>165</v>
      </c>
      <c r="D37" s="202" t="s">
        <v>125</v>
      </c>
      <c r="E37" s="6">
        <v>0</v>
      </c>
      <c r="F37" s="204">
        <v>15</v>
      </c>
      <c r="G37" s="6"/>
      <c r="H37" s="6"/>
      <c r="I37" s="205"/>
      <c r="J37" s="6"/>
      <c r="K37" s="6">
        <f t="shared" si="17"/>
        <v>0</v>
      </c>
      <c r="L37" s="6">
        <v>0</v>
      </c>
      <c r="M37" s="6"/>
      <c r="N37" s="6">
        <v>0</v>
      </c>
      <c r="O37" s="6">
        <v>-0.04</v>
      </c>
      <c r="P37" s="6">
        <f t="shared" si="22"/>
        <v>0</v>
      </c>
      <c r="Q37" s="6">
        <v>0</v>
      </c>
      <c r="R37" s="201">
        <f>K37-Q37</f>
        <v>0</v>
      </c>
      <c r="S37" s="206">
        <v>419.125</v>
      </c>
      <c r="T37" s="206">
        <f t="shared" si="20"/>
        <v>0</v>
      </c>
      <c r="U37" s="206">
        <f t="shared" si="21"/>
        <v>0</v>
      </c>
      <c r="V37" s="207">
        <f t="shared" si="23"/>
        <v>419.125</v>
      </c>
      <c r="X37" s="169"/>
    </row>
    <row r="38" spans="2:24" ht="21" x14ac:dyDescent="0.35">
      <c r="B38" s="102" t="s">
        <v>74</v>
      </c>
      <c r="C38" s="125" t="s">
        <v>53</v>
      </c>
      <c r="D38" s="102" t="s">
        <v>125</v>
      </c>
      <c r="E38" s="103">
        <v>7000.8</v>
      </c>
      <c r="F38" s="126">
        <v>15</v>
      </c>
      <c r="G38" s="178">
        <v>1500</v>
      </c>
      <c r="H38" s="103"/>
      <c r="I38" s="139"/>
      <c r="J38" s="103"/>
      <c r="K38" s="103">
        <f t="shared" ref="K38:K44" si="24">E38-I38</f>
        <v>7000.8</v>
      </c>
      <c r="L38" s="103">
        <v>0</v>
      </c>
      <c r="M38" s="103"/>
      <c r="N38" s="103">
        <v>857.15</v>
      </c>
      <c r="O38" s="103">
        <v>-0.04</v>
      </c>
      <c r="P38" s="156">
        <f t="shared" si="22"/>
        <v>805.09</v>
      </c>
      <c r="Q38" s="103">
        <f>SUM(N38:P38)+G38</f>
        <v>3162.2</v>
      </c>
      <c r="R38" s="208">
        <f t="shared" si="19"/>
        <v>3838.6000000000004</v>
      </c>
      <c r="S38" s="170">
        <v>419.125</v>
      </c>
      <c r="T38" s="128">
        <f t="shared" si="20"/>
        <v>1435.16</v>
      </c>
      <c r="U38" s="157">
        <f t="shared" si="21"/>
        <v>140.02000000000001</v>
      </c>
      <c r="V38" s="129">
        <f t="shared" si="23"/>
        <v>1994.3050000000001</v>
      </c>
      <c r="X38" s="169"/>
    </row>
    <row r="39" spans="2:24" ht="21" x14ac:dyDescent="0.35">
      <c r="B39" s="102" t="s">
        <v>75</v>
      </c>
      <c r="C39" s="125" t="s">
        <v>39</v>
      </c>
      <c r="D39" s="102" t="s">
        <v>126</v>
      </c>
      <c r="E39" s="103">
        <v>7000.8</v>
      </c>
      <c r="F39" s="126">
        <v>15</v>
      </c>
      <c r="G39" s="141"/>
      <c r="H39" s="103"/>
      <c r="I39" s="144"/>
      <c r="J39" s="103"/>
      <c r="K39" s="103">
        <f t="shared" si="24"/>
        <v>7000.8</v>
      </c>
      <c r="L39" s="103">
        <v>0</v>
      </c>
      <c r="M39" s="103"/>
      <c r="N39" s="103">
        <v>857.15</v>
      </c>
      <c r="O39" s="103">
        <v>-0.04</v>
      </c>
      <c r="P39" s="156">
        <f t="shared" si="22"/>
        <v>805.09</v>
      </c>
      <c r="Q39" s="103">
        <f>SUM(N39:P39)+G39</f>
        <v>1662.2</v>
      </c>
      <c r="R39" s="208">
        <f t="shared" ref="R39:R44" si="25">K39-Q39</f>
        <v>5338.6</v>
      </c>
      <c r="S39" s="170">
        <v>419.125</v>
      </c>
      <c r="T39" s="128">
        <f t="shared" si="20"/>
        <v>1435.16</v>
      </c>
      <c r="U39" s="157">
        <f t="shared" si="21"/>
        <v>140.02000000000001</v>
      </c>
      <c r="V39" s="129">
        <f t="shared" si="23"/>
        <v>1994.3050000000001</v>
      </c>
      <c r="X39" s="169"/>
    </row>
    <row r="40" spans="2:24" ht="21" x14ac:dyDescent="0.35">
      <c r="B40" s="102" t="s">
        <v>76</v>
      </c>
      <c r="C40" s="125" t="s">
        <v>54</v>
      </c>
      <c r="D40" s="102" t="s">
        <v>126</v>
      </c>
      <c r="E40" s="103">
        <v>7000.8</v>
      </c>
      <c r="F40" s="126">
        <v>15</v>
      </c>
      <c r="G40" s="178">
        <v>1910</v>
      </c>
      <c r="H40" s="103"/>
      <c r="I40" s="144"/>
      <c r="J40" s="103"/>
      <c r="K40" s="103">
        <f t="shared" si="24"/>
        <v>7000.8</v>
      </c>
      <c r="L40" s="103">
        <v>0</v>
      </c>
      <c r="M40" s="103"/>
      <c r="N40" s="103">
        <v>857.15</v>
      </c>
      <c r="O40" s="103">
        <v>-0.04</v>
      </c>
      <c r="P40" s="156">
        <f t="shared" si="22"/>
        <v>805.09</v>
      </c>
      <c r="Q40" s="103">
        <f t="shared" si="18"/>
        <v>3572.2</v>
      </c>
      <c r="R40" s="208">
        <f t="shared" si="25"/>
        <v>3428.6000000000004</v>
      </c>
      <c r="S40" s="170">
        <v>419.125</v>
      </c>
      <c r="T40" s="128">
        <f t="shared" si="20"/>
        <v>1435.16</v>
      </c>
      <c r="U40" s="157">
        <f t="shared" si="21"/>
        <v>140.02000000000001</v>
      </c>
      <c r="V40" s="129">
        <f t="shared" si="23"/>
        <v>1994.3050000000001</v>
      </c>
      <c r="X40" s="169"/>
    </row>
    <row r="41" spans="2:24" ht="21" x14ac:dyDescent="0.35">
      <c r="B41" s="158"/>
      <c r="C41" s="30" t="s">
        <v>164</v>
      </c>
      <c r="D41" s="102" t="s">
        <v>125</v>
      </c>
      <c r="E41" s="103">
        <v>7000.8</v>
      </c>
      <c r="F41" s="126">
        <v>15</v>
      </c>
      <c r="G41" s="141"/>
      <c r="H41" s="103"/>
      <c r="I41" s="144"/>
      <c r="J41" s="103"/>
      <c r="K41" s="103">
        <f t="shared" ref="K41" si="26">E41-I41</f>
        <v>7000.8</v>
      </c>
      <c r="L41" s="103">
        <v>0</v>
      </c>
      <c r="M41" s="103"/>
      <c r="N41" s="103">
        <v>857.15</v>
      </c>
      <c r="O41" s="103">
        <v>0.05</v>
      </c>
      <c r="P41" s="141"/>
      <c r="Q41" s="103">
        <f t="shared" ref="Q41" si="27">SUM(N41:P41)+G41</f>
        <v>857.19999999999993</v>
      </c>
      <c r="R41" s="208">
        <f t="shared" si="25"/>
        <v>6143.6</v>
      </c>
      <c r="S41" s="170">
        <v>419.125</v>
      </c>
      <c r="T41" s="128"/>
      <c r="U41" s="157"/>
      <c r="V41" s="129">
        <f t="shared" ref="V41" si="28">SUM(S41:U41)</f>
        <v>419.125</v>
      </c>
      <c r="X41" s="169"/>
    </row>
    <row r="42" spans="2:24" ht="21" x14ac:dyDescent="0.35">
      <c r="B42" s="158" t="s">
        <v>150</v>
      </c>
      <c r="C42" s="30" t="s">
        <v>153</v>
      </c>
      <c r="D42" s="158" t="s">
        <v>109</v>
      </c>
      <c r="E42" s="103">
        <v>7000.8</v>
      </c>
      <c r="F42" s="126">
        <v>15</v>
      </c>
      <c r="G42" s="141"/>
      <c r="H42" s="103"/>
      <c r="I42" s="144"/>
      <c r="J42" s="103"/>
      <c r="K42" s="103">
        <f t="shared" si="24"/>
        <v>7000.8</v>
      </c>
      <c r="L42" s="103">
        <v>0</v>
      </c>
      <c r="M42" s="103"/>
      <c r="N42" s="103">
        <v>857.15</v>
      </c>
      <c r="O42" s="103">
        <v>0.05</v>
      </c>
      <c r="P42" s="141"/>
      <c r="Q42" s="103">
        <f t="shared" ref="Q42:Q44" si="29">SUM(N42:P42)+G42</f>
        <v>857.19999999999993</v>
      </c>
      <c r="R42" s="208">
        <f t="shared" si="25"/>
        <v>6143.6</v>
      </c>
      <c r="S42" s="170">
        <v>419.125</v>
      </c>
      <c r="T42" s="128"/>
      <c r="U42" s="157"/>
      <c r="V42" s="129">
        <f t="shared" ref="V42:V44" si="30">SUM(S42:U42)</f>
        <v>419.125</v>
      </c>
      <c r="X42" s="169"/>
    </row>
    <row r="43" spans="2:24" ht="21" x14ac:dyDescent="0.35">
      <c r="B43" s="158" t="s">
        <v>151</v>
      </c>
      <c r="C43" s="30" t="s">
        <v>154</v>
      </c>
      <c r="D43" s="158" t="s">
        <v>109</v>
      </c>
      <c r="E43" s="103">
        <v>7000.8</v>
      </c>
      <c r="F43" s="126">
        <v>15</v>
      </c>
      <c r="G43" s="141"/>
      <c r="H43" s="103"/>
      <c r="I43" s="144"/>
      <c r="J43" s="103"/>
      <c r="K43" s="103">
        <f t="shared" si="24"/>
        <v>7000.8</v>
      </c>
      <c r="L43" s="103">
        <v>0</v>
      </c>
      <c r="M43" s="103"/>
      <c r="N43" s="103">
        <v>857.15</v>
      </c>
      <c r="O43" s="103">
        <v>0.05</v>
      </c>
      <c r="P43" s="141"/>
      <c r="Q43" s="103">
        <f t="shared" si="29"/>
        <v>857.19999999999993</v>
      </c>
      <c r="R43" s="208">
        <f t="shared" si="25"/>
        <v>6143.6</v>
      </c>
      <c r="S43" s="170">
        <v>419.125</v>
      </c>
      <c r="T43" s="128"/>
      <c r="U43" s="157"/>
      <c r="V43" s="129">
        <f t="shared" si="30"/>
        <v>419.125</v>
      </c>
      <c r="X43" s="169"/>
    </row>
    <row r="44" spans="2:24" ht="21" x14ac:dyDescent="0.35">
      <c r="B44" s="158" t="s">
        <v>152</v>
      </c>
      <c r="C44" s="30" t="s">
        <v>155</v>
      </c>
      <c r="D44" s="158" t="s">
        <v>109</v>
      </c>
      <c r="E44" s="103">
        <v>7000.8</v>
      </c>
      <c r="F44" s="126">
        <v>15</v>
      </c>
      <c r="G44" s="141"/>
      <c r="H44" s="103"/>
      <c r="I44" s="144"/>
      <c r="J44" s="103"/>
      <c r="K44" s="103">
        <f t="shared" si="24"/>
        <v>7000.8</v>
      </c>
      <c r="L44" s="103">
        <v>0</v>
      </c>
      <c r="M44" s="103"/>
      <c r="N44" s="103">
        <v>857.15</v>
      </c>
      <c r="O44" s="103">
        <v>0.05</v>
      </c>
      <c r="P44" s="141"/>
      <c r="Q44" s="103">
        <f t="shared" si="29"/>
        <v>857.19999999999993</v>
      </c>
      <c r="R44" s="208">
        <f t="shared" si="25"/>
        <v>6143.6</v>
      </c>
      <c r="S44" s="170">
        <v>419.125</v>
      </c>
      <c r="T44" s="128"/>
      <c r="U44" s="157"/>
      <c r="V44" s="129">
        <f t="shared" si="30"/>
        <v>419.125</v>
      </c>
      <c r="X44" s="169"/>
    </row>
    <row r="45" spans="2:24" ht="18.75" x14ac:dyDescent="0.3">
      <c r="B45" s="138" t="s">
        <v>20</v>
      </c>
      <c r="C45" s="132"/>
      <c r="D45" s="133"/>
      <c r="E45" s="197">
        <f>SUM(E30:E44)</f>
        <v>98454.200000000026</v>
      </c>
      <c r="F45" s="197">
        <f t="shared" ref="F45:M45" si="31">SUM(F30:F44)</f>
        <v>225</v>
      </c>
      <c r="G45" s="197">
        <f>SUM(G30:G44)</f>
        <v>5149.9799999999996</v>
      </c>
      <c r="H45" s="197">
        <f t="shared" si="31"/>
        <v>0</v>
      </c>
      <c r="I45" s="197">
        <f t="shared" si="31"/>
        <v>0</v>
      </c>
      <c r="J45" s="197">
        <f t="shared" si="31"/>
        <v>0</v>
      </c>
      <c r="K45" s="197">
        <f>SUM(K30:K44)</f>
        <v>98454.200000000026</v>
      </c>
      <c r="L45" s="197">
        <f t="shared" si="31"/>
        <v>0</v>
      </c>
      <c r="M45" s="197">
        <f t="shared" si="31"/>
        <v>0</v>
      </c>
      <c r="N45" s="197">
        <f t="shared" ref="N45:V45" si="32">SUM(N30:N44)</f>
        <v>12094.729999999998</v>
      </c>
      <c r="O45" s="197">
        <f t="shared" si="32"/>
        <v>-0.2</v>
      </c>
      <c r="P45" s="197">
        <f t="shared" si="32"/>
        <v>8101.8500000000013</v>
      </c>
      <c r="Q45" s="197">
        <f t="shared" si="32"/>
        <v>25346.400000000005</v>
      </c>
      <c r="R45" s="135">
        <f t="shared" si="32"/>
        <v>73107.8</v>
      </c>
      <c r="S45" s="197">
        <f t="shared" si="32"/>
        <v>6300.0550000000003</v>
      </c>
      <c r="T45" s="197">
        <f t="shared" si="32"/>
        <v>14442.42</v>
      </c>
      <c r="U45" s="197">
        <f t="shared" si="32"/>
        <v>1409.06</v>
      </c>
      <c r="V45" s="197">
        <f t="shared" si="32"/>
        <v>22151.535</v>
      </c>
      <c r="X45" s="169"/>
    </row>
    <row r="46" spans="2:24" ht="18.75" hidden="1" x14ac:dyDescent="0.3">
      <c r="C46" s="136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37"/>
      <c r="X46" s="169"/>
    </row>
    <row r="47" spans="2:24" ht="18.75" x14ac:dyDescent="0.3">
      <c r="B47" s="138" t="s">
        <v>78</v>
      </c>
      <c r="C47" s="31" t="s">
        <v>34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37"/>
      <c r="X47" s="169"/>
    </row>
    <row r="48" spans="2:24" ht="21" x14ac:dyDescent="0.35">
      <c r="B48" s="102" t="s">
        <v>69</v>
      </c>
      <c r="C48" s="125" t="s">
        <v>55</v>
      </c>
      <c r="D48" s="102" t="s">
        <v>130</v>
      </c>
      <c r="E48" s="103">
        <v>7443.8</v>
      </c>
      <c r="F48" s="126">
        <v>15</v>
      </c>
      <c r="G48" s="137"/>
      <c r="H48" s="103"/>
      <c r="I48" s="144"/>
      <c r="J48" s="141"/>
      <c r="K48" s="141">
        <f t="shared" ref="K48" si="33">E48-I48</f>
        <v>7443.8</v>
      </c>
      <c r="L48" s="141"/>
      <c r="M48" s="103"/>
      <c r="N48" s="103">
        <v>951.78</v>
      </c>
      <c r="O48" s="103">
        <v>-0.02</v>
      </c>
      <c r="P48" s="156">
        <f t="shared" ref="P48:P49" si="34">ROUND(E48*0.115,2)</f>
        <v>856.04</v>
      </c>
      <c r="Q48" s="103">
        <f t="shared" ref="Q48" si="35">SUM(N48:P48)+G48</f>
        <v>1807.8</v>
      </c>
      <c r="R48" s="208">
        <f t="shared" ref="R48" si="36">K48-Q48</f>
        <v>5636</v>
      </c>
      <c r="S48" s="170">
        <v>432.30499999999995</v>
      </c>
      <c r="T48" s="128">
        <f t="shared" ref="T48:T49" si="37">ROUND(+E48*17.5%,2)+ROUND(E48*3%,2)</f>
        <v>1525.98</v>
      </c>
      <c r="U48" s="157">
        <f t="shared" ref="U48:U49" si="38">ROUND(+E48*2%,2)</f>
        <v>148.88</v>
      </c>
      <c r="V48" s="129">
        <f t="shared" ref="V48:V49" si="39">SUM(S48:U48)</f>
        <v>2107.165</v>
      </c>
      <c r="X48" s="169"/>
    </row>
    <row r="49" spans="2:24" ht="21" x14ac:dyDescent="0.35">
      <c r="B49" s="102" t="s">
        <v>81</v>
      </c>
      <c r="C49" s="125" t="s">
        <v>44</v>
      </c>
      <c r="D49" s="102" t="s">
        <v>128</v>
      </c>
      <c r="E49" s="103">
        <v>7000.8</v>
      </c>
      <c r="F49" s="126">
        <v>15</v>
      </c>
      <c r="G49" s="178">
        <v>1171.28</v>
      </c>
      <c r="H49" s="103"/>
      <c r="I49" s="144"/>
      <c r="J49" s="103"/>
      <c r="K49" s="103">
        <f>E49-I49</f>
        <v>7000.8</v>
      </c>
      <c r="L49" s="103"/>
      <c r="M49" s="103"/>
      <c r="N49" s="103">
        <v>857.15</v>
      </c>
      <c r="O49" s="103">
        <v>0.08</v>
      </c>
      <c r="P49" s="156">
        <f t="shared" si="34"/>
        <v>805.09</v>
      </c>
      <c r="Q49" s="103">
        <f>SUM(N49:P49)+G49</f>
        <v>2833.6000000000004</v>
      </c>
      <c r="R49" s="208">
        <f>K49-Q49</f>
        <v>4167.2</v>
      </c>
      <c r="S49" s="170">
        <v>419.125</v>
      </c>
      <c r="T49" s="128">
        <f t="shared" si="37"/>
        <v>1435.16</v>
      </c>
      <c r="U49" s="157">
        <f t="shared" si="38"/>
        <v>140.02000000000001</v>
      </c>
      <c r="V49" s="129">
        <f t="shared" si="39"/>
        <v>1994.3050000000001</v>
      </c>
      <c r="X49" s="169"/>
    </row>
    <row r="50" spans="2:24" ht="21" x14ac:dyDescent="0.35">
      <c r="B50" s="102" t="s">
        <v>107</v>
      </c>
      <c r="C50" s="125" t="s">
        <v>108</v>
      </c>
      <c r="D50" s="102" t="s">
        <v>109</v>
      </c>
      <c r="E50" s="103">
        <v>7000.8</v>
      </c>
      <c r="F50" s="126">
        <v>15</v>
      </c>
      <c r="G50" s="103"/>
      <c r="H50" s="103"/>
      <c r="I50" s="103"/>
      <c r="J50" s="103"/>
      <c r="K50" s="103">
        <f>E50-I50</f>
        <v>7000.8</v>
      </c>
      <c r="L50" s="103"/>
      <c r="M50" s="103"/>
      <c r="N50" s="103">
        <v>857.15</v>
      </c>
      <c r="O50" s="103">
        <v>-0.04</v>
      </c>
      <c r="P50" s="156">
        <f t="shared" ref="P50" si="40">ROUND(E50*0.115,2)</f>
        <v>805.09</v>
      </c>
      <c r="Q50" s="103">
        <f>SUM(N50:P50)+G50</f>
        <v>1662.2</v>
      </c>
      <c r="R50" s="208">
        <f>K50-Q50</f>
        <v>5338.6</v>
      </c>
      <c r="S50" s="170">
        <v>419.125</v>
      </c>
      <c r="T50" s="128">
        <f t="shared" ref="T50" si="41">ROUND(+E50*17.5%,2)+ROUND(E50*3%,2)</f>
        <v>1435.16</v>
      </c>
      <c r="U50" s="157">
        <f t="shared" ref="U50" si="42">ROUND(+E50*2%,2)</f>
        <v>140.02000000000001</v>
      </c>
      <c r="V50" s="129">
        <f t="shared" ref="V50:V53" si="43">SUM(S50:U50)</f>
        <v>1994.3050000000001</v>
      </c>
      <c r="X50" s="169"/>
    </row>
    <row r="51" spans="2:24" ht="31.5" x14ac:dyDescent="0.35">
      <c r="B51" s="158" t="s">
        <v>156</v>
      </c>
      <c r="C51" s="30" t="s">
        <v>159</v>
      </c>
      <c r="D51" s="198" t="s">
        <v>160</v>
      </c>
      <c r="E51" s="103">
        <v>6791.5</v>
      </c>
      <c r="F51" s="126">
        <v>15</v>
      </c>
      <c r="G51" s="141"/>
      <c r="H51" s="103"/>
      <c r="I51" s="144"/>
      <c r="J51" s="103"/>
      <c r="K51" s="103">
        <f t="shared" ref="K51:K53" si="44">E51-I51</f>
        <v>6791.5</v>
      </c>
      <c r="L51" s="103"/>
      <c r="M51" s="103"/>
      <c r="N51" s="103">
        <v>812.45</v>
      </c>
      <c r="O51" s="103">
        <v>0.05</v>
      </c>
      <c r="P51" s="156"/>
      <c r="Q51" s="103">
        <f t="shared" ref="Q51:Q53" si="45">SUM(N51:P51)+G51</f>
        <v>812.5</v>
      </c>
      <c r="R51" s="208">
        <f t="shared" ref="R51:R52" si="46">K51-Q51</f>
        <v>5979</v>
      </c>
      <c r="S51" s="170">
        <v>412.89499999999998</v>
      </c>
      <c r="T51" s="128"/>
      <c r="U51" s="157"/>
      <c r="V51" s="129">
        <f t="shared" si="43"/>
        <v>412.89499999999998</v>
      </c>
      <c r="X51" s="169"/>
    </row>
    <row r="52" spans="2:24" ht="31.5" x14ac:dyDescent="0.35">
      <c r="B52" s="158" t="s">
        <v>157</v>
      </c>
      <c r="C52" s="30" t="s">
        <v>161</v>
      </c>
      <c r="D52" s="198" t="s">
        <v>160</v>
      </c>
      <c r="E52" s="103">
        <v>6791.5</v>
      </c>
      <c r="F52" s="126">
        <v>15</v>
      </c>
      <c r="G52" s="141"/>
      <c r="H52" s="103"/>
      <c r="I52" s="144"/>
      <c r="J52" s="103"/>
      <c r="K52" s="103">
        <f t="shared" si="44"/>
        <v>6791.5</v>
      </c>
      <c r="L52" s="103"/>
      <c r="M52" s="103"/>
      <c r="N52" s="103">
        <v>812.45</v>
      </c>
      <c r="O52" s="103">
        <v>0.05</v>
      </c>
      <c r="P52" s="156"/>
      <c r="Q52" s="103">
        <f t="shared" si="45"/>
        <v>812.5</v>
      </c>
      <c r="R52" s="208">
        <f t="shared" si="46"/>
        <v>5979</v>
      </c>
      <c r="S52" s="170">
        <v>412.89499999999998</v>
      </c>
      <c r="T52" s="128"/>
      <c r="U52" s="157"/>
      <c r="V52" s="129">
        <f t="shared" si="43"/>
        <v>412.89499999999998</v>
      </c>
      <c r="X52" s="169"/>
    </row>
    <row r="53" spans="2:24" ht="31.5" x14ac:dyDescent="0.35">
      <c r="B53" s="158" t="s">
        <v>158</v>
      </c>
      <c r="C53" s="30" t="s">
        <v>162</v>
      </c>
      <c r="D53" s="198" t="s">
        <v>160</v>
      </c>
      <c r="E53" s="103">
        <v>6791.5</v>
      </c>
      <c r="F53" s="126">
        <v>15</v>
      </c>
      <c r="G53" s="103"/>
      <c r="H53" s="103"/>
      <c r="I53" s="103"/>
      <c r="J53" s="103"/>
      <c r="K53" s="103">
        <f t="shared" si="44"/>
        <v>6791.5</v>
      </c>
      <c r="L53" s="103"/>
      <c r="M53" s="103"/>
      <c r="N53" s="103">
        <v>812.45</v>
      </c>
      <c r="O53" s="103">
        <v>0.05</v>
      </c>
      <c r="P53" s="156"/>
      <c r="Q53" s="103">
        <f t="shared" si="45"/>
        <v>812.5</v>
      </c>
      <c r="R53" s="208">
        <f>K53-Q53</f>
        <v>5979</v>
      </c>
      <c r="S53" s="170">
        <v>412.89499999999998</v>
      </c>
      <c r="T53" s="128"/>
      <c r="U53" s="157"/>
      <c r="V53" s="129">
        <f t="shared" si="43"/>
        <v>412.89499999999998</v>
      </c>
      <c r="X53" s="169"/>
    </row>
    <row r="54" spans="2:24" x14ac:dyDescent="0.25">
      <c r="B54" s="138" t="s">
        <v>20</v>
      </c>
      <c r="C54" s="132"/>
      <c r="D54" s="133"/>
      <c r="E54" s="134">
        <f>SUM(E48:E53)</f>
        <v>41819.9</v>
      </c>
      <c r="F54" s="134"/>
      <c r="G54" s="134">
        <f>SUM(G48:G53)</f>
        <v>1171.28</v>
      </c>
      <c r="H54" s="134">
        <f t="shared" ref="H54:O54" si="47">SUM(H48:H53)</f>
        <v>0</v>
      </c>
      <c r="I54" s="134">
        <f t="shared" si="47"/>
        <v>0</v>
      </c>
      <c r="J54" s="134">
        <f t="shared" si="47"/>
        <v>0</v>
      </c>
      <c r="K54" s="134">
        <f>SUM(K48:K53)</f>
        <v>41819.9</v>
      </c>
      <c r="L54" s="134">
        <f t="shared" si="47"/>
        <v>0</v>
      </c>
      <c r="M54" s="134">
        <f>SUM(M48:M53)</f>
        <v>0</v>
      </c>
      <c r="N54" s="134">
        <f>SUM(N48:N53)</f>
        <v>5103.4299999999994</v>
      </c>
      <c r="O54" s="134">
        <f t="shared" si="47"/>
        <v>0.17</v>
      </c>
      <c r="P54" s="134">
        <f t="shared" ref="P54:V54" si="48">SUM(P48:P53)</f>
        <v>2466.2200000000003</v>
      </c>
      <c r="Q54" s="134">
        <f t="shared" si="48"/>
        <v>8741.1</v>
      </c>
      <c r="R54" s="134">
        <f t="shared" si="48"/>
        <v>33078.800000000003</v>
      </c>
      <c r="S54" s="134">
        <f>SUM(S48:S53)</f>
        <v>2509.2399999999998</v>
      </c>
      <c r="T54" s="134">
        <f t="shared" si="48"/>
        <v>4396.3</v>
      </c>
      <c r="U54" s="134">
        <f t="shared" si="48"/>
        <v>428.91999999999996</v>
      </c>
      <c r="V54" s="134">
        <f t="shared" si="48"/>
        <v>7334.4600000000009</v>
      </c>
      <c r="X54" s="169"/>
    </row>
    <row r="55" spans="2:24" ht="18.75" hidden="1" x14ac:dyDescent="0.3">
      <c r="B55" s="138"/>
      <c r="C55" s="136"/>
      <c r="E55" s="103"/>
      <c r="F55" s="103"/>
      <c r="G55" s="103"/>
      <c r="H55" s="103"/>
      <c r="I55" s="103"/>
      <c r="J55" s="103"/>
      <c r="K55" s="146"/>
      <c r="L55" s="146"/>
      <c r="M55" s="146"/>
      <c r="N55" s="146"/>
      <c r="O55" s="146"/>
      <c r="P55" s="146"/>
      <c r="Q55" s="146"/>
      <c r="R55" s="147"/>
      <c r="S55" s="148"/>
      <c r="T55" s="148"/>
      <c r="U55" s="148"/>
      <c r="V55" s="148"/>
      <c r="X55" s="169"/>
    </row>
    <row r="56" spans="2:24" ht="18.75" x14ac:dyDescent="0.3">
      <c r="B56" s="138" t="s">
        <v>84</v>
      </c>
      <c r="C56" s="31" t="s">
        <v>85</v>
      </c>
      <c r="E56" s="103"/>
      <c r="F56" s="103"/>
      <c r="G56" s="103"/>
      <c r="H56" s="103"/>
      <c r="I56" s="103"/>
      <c r="J56" s="103"/>
      <c r="K56" s="146"/>
      <c r="L56" s="146"/>
      <c r="M56" s="146"/>
      <c r="N56" s="146"/>
      <c r="O56" s="146"/>
      <c r="P56" s="146"/>
      <c r="Q56" s="146"/>
      <c r="R56" s="147"/>
      <c r="S56" s="148"/>
      <c r="T56" s="148"/>
      <c r="U56" s="148"/>
      <c r="V56" s="148"/>
      <c r="X56" s="169"/>
    </row>
    <row r="57" spans="2:24" ht="21" x14ac:dyDescent="0.35">
      <c r="B57" s="102" t="s">
        <v>86</v>
      </c>
      <c r="C57" s="125" t="s">
        <v>30</v>
      </c>
      <c r="D57" s="102" t="s">
        <v>114</v>
      </c>
      <c r="E57" s="103">
        <v>13000</v>
      </c>
      <c r="F57" s="126">
        <v>15</v>
      </c>
      <c r="G57" s="178">
        <v>6195.8</v>
      </c>
      <c r="H57" s="103"/>
      <c r="I57" s="103"/>
      <c r="J57" s="103"/>
      <c r="K57" s="103">
        <f>E57-I57</f>
        <v>13000</v>
      </c>
      <c r="L57" s="103">
        <v>0</v>
      </c>
      <c r="M57" s="103"/>
      <c r="N57" s="103">
        <v>2161.23</v>
      </c>
      <c r="O57" s="103">
        <v>-0.03</v>
      </c>
      <c r="P57" s="156">
        <f>ROUND(E57*0.115,2)</f>
        <v>1495</v>
      </c>
      <c r="Q57" s="103">
        <f>SUM(N57:P57)+G57</f>
        <v>9852</v>
      </c>
      <c r="R57" s="208">
        <f>K57-Q57</f>
        <v>3148</v>
      </c>
      <c r="S57" s="29">
        <v>597.69499999999994</v>
      </c>
      <c r="T57" s="128">
        <f t="shared" ref="T57" si="49">ROUND(+E57*17.5%,2)+ROUND(E57*3%,2)</f>
        <v>2665</v>
      </c>
      <c r="U57" s="157">
        <f>ROUND(+E57*2%,2)</f>
        <v>260</v>
      </c>
      <c r="V57" s="129">
        <f t="shared" ref="V57" si="50">SUM(S57:U57)</f>
        <v>3522.6949999999997</v>
      </c>
      <c r="X57" s="169"/>
    </row>
    <row r="58" spans="2:24" ht="18.75" x14ac:dyDescent="0.3">
      <c r="B58" s="138" t="s">
        <v>20</v>
      </c>
      <c r="E58" s="134">
        <f>E57</f>
        <v>13000</v>
      </c>
      <c r="F58" s="134"/>
      <c r="G58" s="134">
        <f>+G57</f>
        <v>6195.8</v>
      </c>
      <c r="H58" s="134"/>
      <c r="I58" s="134">
        <f>I57</f>
        <v>0</v>
      </c>
      <c r="J58" s="134">
        <f>J57</f>
        <v>0</v>
      </c>
      <c r="K58" s="134">
        <f>K57</f>
        <v>13000</v>
      </c>
      <c r="L58" s="134">
        <f t="shared" ref="L58:V58" si="51">L57</f>
        <v>0</v>
      </c>
      <c r="M58" s="134">
        <f t="shared" si="51"/>
        <v>0</v>
      </c>
      <c r="N58" s="134">
        <f>N57</f>
        <v>2161.23</v>
      </c>
      <c r="O58" s="134">
        <f t="shared" si="51"/>
        <v>-0.03</v>
      </c>
      <c r="P58" s="134">
        <f>P57</f>
        <v>1495</v>
      </c>
      <c r="Q58" s="134">
        <f t="shared" si="51"/>
        <v>9852</v>
      </c>
      <c r="R58" s="135">
        <f>R57</f>
        <v>3148</v>
      </c>
      <c r="S58" s="134">
        <f>S57</f>
        <v>597.69499999999994</v>
      </c>
      <c r="T58" s="134">
        <f t="shared" si="51"/>
        <v>2665</v>
      </c>
      <c r="U58" s="134">
        <f>U57</f>
        <v>260</v>
      </c>
      <c r="V58" s="134">
        <f t="shared" si="51"/>
        <v>3522.6949999999997</v>
      </c>
      <c r="X58" s="169"/>
    </row>
    <row r="59" spans="2:24" ht="12" customHeight="1" x14ac:dyDescent="0.3">
      <c r="B59" s="138"/>
      <c r="E59" s="103"/>
      <c r="F59" s="103"/>
      <c r="G59" s="103"/>
      <c r="H59" s="103"/>
      <c r="I59" s="103"/>
      <c r="J59" s="103"/>
      <c r="K59" s="146"/>
      <c r="L59" s="146"/>
      <c r="M59" s="146"/>
      <c r="N59" s="146"/>
      <c r="O59" s="146"/>
      <c r="P59" s="146"/>
      <c r="Q59" s="146"/>
      <c r="R59" s="147"/>
      <c r="S59" s="148"/>
      <c r="T59" s="148"/>
      <c r="U59" s="148"/>
      <c r="V59" s="148"/>
    </row>
    <row r="60" spans="2:24" ht="18.75" hidden="1" x14ac:dyDescent="0.3">
      <c r="R60" s="149"/>
    </row>
    <row r="61" spans="2:24" ht="18.75" x14ac:dyDescent="0.3">
      <c r="C61" s="150" t="s">
        <v>56</v>
      </c>
      <c r="E61" s="151">
        <f>E9+E20+E27+E45+E54+E58</f>
        <v>260544.66</v>
      </c>
      <c r="F61" s="151"/>
      <c r="G61" s="152">
        <f>G9+G20+G27+G45+G54+G58</f>
        <v>27469.639999999996</v>
      </c>
      <c r="H61" s="151"/>
      <c r="I61" s="151">
        <f t="shared" ref="I61:V61" si="52">I9+I20+I27+I45+I54+I58</f>
        <v>0</v>
      </c>
      <c r="J61" s="151">
        <f t="shared" si="52"/>
        <v>0</v>
      </c>
      <c r="K61" s="151">
        <f>K9+K20+K27+K45+K54+K58</f>
        <v>260544.66</v>
      </c>
      <c r="L61" s="151">
        <f t="shared" si="52"/>
        <v>0</v>
      </c>
      <c r="M61" s="151">
        <f t="shared" si="52"/>
        <v>0</v>
      </c>
      <c r="N61" s="151">
        <f t="shared" si="52"/>
        <v>33733.659999999996</v>
      </c>
      <c r="O61" s="151">
        <f t="shared" si="52"/>
        <v>-3.0000000000000027E-2</v>
      </c>
      <c r="P61" s="152">
        <f>P9+P20+P27+P45+P54+P58</f>
        <v>24399.170000000002</v>
      </c>
      <c r="Q61" s="151">
        <f t="shared" si="52"/>
        <v>85602.48000000001</v>
      </c>
      <c r="R61" s="153">
        <f t="shared" si="52"/>
        <v>174942.18</v>
      </c>
      <c r="S61" s="151">
        <f>S9+S20+S27+S45+S54+S58</f>
        <v>15550.33</v>
      </c>
      <c r="T61" s="151">
        <f>T58+T54+T45+T27+T20+T9</f>
        <v>43494.152475000003</v>
      </c>
      <c r="U61" s="152">
        <f>U9+U20+U27+U45+U54+U58</f>
        <v>4243.43</v>
      </c>
      <c r="V61" s="154">
        <f t="shared" si="52"/>
        <v>63287.912475000005</v>
      </c>
    </row>
    <row r="62" spans="2:24" ht="18.75" x14ac:dyDescent="0.3">
      <c r="S62" s="151"/>
      <c r="T62" s="151"/>
    </row>
    <row r="63" spans="2:24" x14ac:dyDescent="0.25">
      <c r="T63" s="103"/>
      <c r="X63" s="169"/>
    </row>
    <row r="65" spans="3:20" x14ac:dyDescent="0.25">
      <c r="G65" s="102">
        <v>13583</v>
      </c>
      <c r="I65" s="169">
        <f>+G65/2</f>
        <v>6791.5</v>
      </c>
    </row>
    <row r="70" spans="3:20" ht="16.5" thickBot="1" x14ac:dyDescent="0.3">
      <c r="E70" s="293"/>
      <c r="F70" s="293"/>
      <c r="G70" s="195"/>
      <c r="H70" s="195"/>
      <c r="P70" s="294"/>
      <c r="Q70" s="294"/>
    </row>
    <row r="71" spans="3:20" ht="15" x14ac:dyDescent="0.25">
      <c r="E71" s="295" t="s">
        <v>91</v>
      </c>
      <c r="F71" s="295"/>
      <c r="G71" s="196"/>
      <c r="H71" s="196"/>
      <c r="P71" s="155"/>
      <c r="Q71" s="155"/>
      <c r="R71" s="296" t="s">
        <v>82</v>
      </c>
      <c r="S71" s="296"/>
      <c r="T71" s="195"/>
    </row>
    <row r="75" spans="3:20" x14ac:dyDescent="0.25">
      <c r="C75" s="102" t="s">
        <v>90</v>
      </c>
    </row>
  </sheetData>
  <mergeCells count="5">
    <mergeCell ref="B4:V4"/>
    <mergeCell ref="E70:F70"/>
    <mergeCell ref="P70:Q70"/>
    <mergeCell ref="E71:F71"/>
    <mergeCell ref="R71:S71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24</vt:i4>
      </vt:variant>
    </vt:vector>
  </HeadingPairs>
  <TitlesOfParts>
    <vt:vector size="51" baseType="lpstr">
      <vt:lpstr>1RA ENERO 2018</vt:lpstr>
      <vt:lpstr>2DA ENERO 2018 </vt:lpstr>
      <vt:lpstr>RETROACTIVO ENERO 2018</vt:lpstr>
      <vt:lpstr>1RA FEBRERO 2018  </vt:lpstr>
      <vt:lpstr>2DA FEBRERO 2018</vt:lpstr>
      <vt:lpstr>1RA MARZO 2018 </vt:lpstr>
      <vt:lpstr>2DA MARZO 2018 </vt:lpstr>
      <vt:lpstr>1RA ABRIL 2018</vt:lpstr>
      <vt:lpstr>2DA ABRIL 2018 </vt:lpstr>
      <vt:lpstr>1RA MAYO 2018</vt:lpstr>
      <vt:lpstr>2DA MAYO 2018 </vt:lpstr>
      <vt:lpstr>1RA JUNIO 2018</vt:lpstr>
      <vt:lpstr>2DA JUNIO 2018</vt:lpstr>
      <vt:lpstr>1RA JULIO 2018</vt:lpstr>
      <vt:lpstr>2DA JULIO 2018 </vt:lpstr>
      <vt:lpstr>1RA AGOSTO 2018  </vt:lpstr>
      <vt:lpstr>2DA AGOSTO 2018  </vt:lpstr>
      <vt:lpstr>1RA SEPTIEMBRE 2018</vt:lpstr>
      <vt:lpstr>ESTIMULO SERVIDOR 2018</vt:lpstr>
      <vt:lpstr>2DA SEPTIEMBRE 2018 </vt:lpstr>
      <vt:lpstr>1RA OCTUBRE 2018 </vt:lpstr>
      <vt:lpstr>2DA OCTUBRE 2018  </vt:lpstr>
      <vt:lpstr>1RA NOVIEMBRE 2018  </vt:lpstr>
      <vt:lpstr>2DA NOVIEMBRE 2018  </vt:lpstr>
      <vt:lpstr>Aguinaldo 2018</vt:lpstr>
      <vt:lpstr>1RA DE DICIEMBRE </vt:lpstr>
      <vt:lpstr>2DA DE DICIEMBRE </vt:lpstr>
      <vt:lpstr>'1RA ABRIL 2018'!Área_de_impresión</vt:lpstr>
      <vt:lpstr>'1RA AGOSTO 2018  '!Área_de_impresión</vt:lpstr>
      <vt:lpstr>'1RA DE DICIEMBRE '!Área_de_impresión</vt:lpstr>
      <vt:lpstr>'1RA ENERO 2018'!Área_de_impresión</vt:lpstr>
      <vt:lpstr>'1RA FEBRERO 2018  '!Área_de_impresión</vt:lpstr>
      <vt:lpstr>'1RA JULIO 2018'!Área_de_impresión</vt:lpstr>
      <vt:lpstr>'1RA JUNIO 2018'!Área_de_impresión</vt:lpstr>
      <vt:lpstr>'1RA MARZO 2018 '!Área_de_impresión</vt:lpstr>
      <vt:lpstr>'1RA MAYO 2018'!Área_de_impresión</vt:lpstr>
      <vt:lpstr>'1RA NOVIEMBRE 2018  '!Área_de_impresión</vt:lpstr>
      <vt:lpstr>'1RA OCTUBRE 2018 '!Área_de_impresión</vt:lpstr>
      <vt:lpstr>'1RA SEPTIEMBRE 2018'!Área_de_impresión</vt:lpstr>
      <vt:lpstr>'2DA ABRIL 2018 '!Área_de_impresión</vt:lpstr>
      <vt:lpstr>'2DA AGOSTO 2018  '!Área_de_impresión</vt:lpstr>
      <vt:lpstr>'2DA ENERO 2018 '!Área_de_impresión</vt:lpstr>
      <vt:lpstr>'2DA FEBRERO 2018'!Área_de_impresión</vt:lpstr>
      <vt:lpstr>'2DA JULIO 2018 '!Área_de_impresión</vt:lpstr>
      <vt:lpstr>'2DA JUNIO 2018'!Área_de_impresión</vt:lpstr>
      <vt:lpstr>'2DA MARZO 2018 '!Área_de_impresión</vt:lpstr>
      <vt:lpstr>'2DA MAYO 2018 '!Área_de_impresión</vt:lpstr>
      <vt:lpstr>'2DA NOVIEMBRE 2018  '!Área_de_impresión</vt:lpstr>
      <vt:lpstr>'2DA OCTUBRE 2018  '!Área_de_impresión</vt:lpstr>
      <vt:lpstr>'2DA SEPTIEMBRE 2018 '!Área_de_impresión</vt:lpstr>
      <vt:lpstr>'RETROACTIVO ENERO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Coordinacion CENDI</cp:lastModifiedBy>
  <cp:lastPrinted>2019-01-14T20:52:32Z</cp:lastPrinted>
  <dcterms:created xsi:type="dcterms:W3CDTF">2015-06-25T00:27:43Z</dcterms:created>
  <dcterms:modified xsi:type="dcterms:W3CDTF">2019-01-29T20:03:23Z</dcterms:modified>
</cp:coreProperties>
</file>